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MovAvg" sheetId="1" r:id="rId1"/>
    <sheet name="WtMovAvg" sheetId="2" r:id="rId2"/>
    <sheet name="ExpSm" sheetId="3" r:id="rId3"/>
    <sheet name="Time" sheetId="4" r:id="rId4"/>
    <sheet name="AddDec" sheetId="5" r:id="rId5"/>
    <sheet name="Regr" sheetId="6" r:id="rId6"/>
  </sheets>
  <definedNames>
    <definedName name="_xlnm.Print_Area" localSheetId="4">'AddDec'!$A$1:$F$35</definedName>
    <definedName name="_xlnm.Print_Area" localSheetId="2">'ExpSm'!$A$1:$F$35</definedName>
    <definedName name="_xlnm.Print_Area" localSheetId="0">'MovAvg'!$A$1:$F$35</definedName>
    <definedName name="_xlnm.Print_Area" localSheetId="5">'Regr'!$A$1:$G$35</definedName>
    <definedName name="_xlnm.Print_Area" localSheetId="3">'Time'!$A$1:$F$35</definedName>
    <definedName name="_xlnm.Print_Area" localSheetId="1">'WtMovAvg'!$A$1:$H$35</definedName>
  </definedNames>
  <calcPr fullCalcOnLoad="1"/>
</workbook>
</file>

<file path=xl/comments3.xml><?xml version="1.0" encoding="utf-8"?>
<comments xmlns="http://schemas.openxmlformats.org/spreadsheetml/2006/main">
  <authors>
    <author>Jim</author>
  </authors>
  <commentList>
    <comment ref="D3" authorId="0">
      <text>
        <r>
          <rPr>
            <b/>
            <sz val="8"/>
            <rFont val="Tahoma"/>
            <family val="2"/>
          </rPr>
          <t>The larger the alpha, the greater the weight on the last period (1.00 = 100% weight on last period, while smaller alphas give greater weight for earlier periods)</t>
        </r>
      </text>
    </comment>
  </commentList>
</comments>
</file>

<file path=xl/comments4.xml><?xml version="1.0" encoding="utf-8"?>
<comments xmlns="http://schemas.openxmlformats.org/spreadsheetml/2006/main">
  <authors>
    <author>Dr. Jim Mirabella</author>
    <author>Jim</author>
  </authors>
  <commentList>
    <comment ref="E12" authorId="0">
      <text>
        <r>
          <rPr>
            <b/>
            <sz val="8"/>
            <rFont val="Tahoma"/>
            <family val="2"/>
          </rPr>
          <t>A one unit change in X results in a change in Y equal to the value of the slope.</t>
        </r>
      </text>
    </comment>
    <comment ref="E10" authorId="1">
      <text>
        <r>
          <rPr>
            <b/>
            <sz val="8"/>
            <rFont val="Tahoma"/>
            <family val="2"/>
          </rPr>
          <t>This is the measure of the degree of relationship between the X and Y variables.  1 is perfect, .70 to 1.00 is strong, .30 to .69 is moderate, less than .30 is weak, 0 means no correlation.  The same rules apply to positive or negative correlations.</t>
        </r>
      </text>
    </comment>
    <comment ref="E11" authorId="1">
      <text>
        <r>
          <rPr>
            <b/>
            <sz val="8"/>
            <rFont val="Tahoma"/>
            <family val="2"/>
          </rPr>
          <t>This explains the percent of the variability in Y that can be explained by the regression equation.</t>
        </r>
      </text>
    </comment>
  </commentList>
</comments>
</file>

<file path=xl/comments6.xml><?xml version="1.0" encoding="utf-8"?>
<comments xmlns="http://schemas.openxmlformats.org/spreadsheetml/2006/main">
  <authors>
    <author>Dr. Jim Mirabella</author>
    <author>Jim</author>
  </authors>
  <commentList>
    <comment ref="F12" authorId="0">
      <text>
        <r>
          <rPr>
            <b/>
            <sz val="8"/>
            <rFont val="Tahoma"/>
            <family val="2"/>
          </rPr>
          <t>A one unit change in X results in a change in Y equal to the value of the slope.</t>
        </r>
      </text>
    </comment>
    <comment ref="F17" authorId="1">
      <text>
        <r>
          <rPr>
            <b/>
            <sz val="8"/>
            <rFont val="Tahoma"/>
            <family val="2"/>
          </rPr>
          <t>Enter the x-value that you want to use to predict the y-value.   You should never input an X-value that is beyond the range of the data (i.e., it should be between the smallest and largest X-Data observation).</t>
        </r>
      </text>
    </comment>
    <comment ref="F18" authorId="1">
      <text>
        <r>
          <rPr>
            <b/>
            <sz val="8"/>
            <rFont val="Tahoma"/>
            <family val="2"/>
          </rPr>
          <t>This is the predicted value using the x-value above and the regression equation.</t>
        </r>
      </text>
    </comment>
    <comment ref="F10" authorId="1">
      <text>
        <r>
          <rPr>
            <b/>
            <sz val="8"/>
            <rFont val="Tahoma"/>
            <family val="2"/>
          </rPr>
          <t>This is the measure of the degree of relationship between the X and Y variables.  1 is perfect, .70 to 1.00 is strong, .30 to .69 is moderate, less than .30 is weak, 0 means no correlation.  The same rules apply to positive or negative correlations.</t>
        </r>
      </text>
    </comment>
    <comment ref="F11" authorId="1">
      <text>
        <r>
          <rPr>
            <b/>
            <sz val="8"/>
            <rFont val="Tahoma"/>
            <family val="2"/>
          </rPr>
          <t>This explains the percent of the variability in Y that can be explained by the regression equation.</t>
        </r>
      </text>
    </comment>
    <comment ref="B4" authorId="1">
      <text>
        <r>
          <rPr>
            <b/>
            <sz val="8"/>
            <rFont val="Tahoma"/>
            <family val="2"/>
          </rPr>
          <t>The X-data is the independent variable from which a prediction is made.</t>
        </r>
      </text>
    </comment>
    <comment ref="C4" authorId="1">
      <text>
        <r>
          <rPr>
            <b/>
            <sz val="8"/>
            <rFont val="Tahoma"/>
            <family val="2"/>
          </rPr>
          <t>The Y-data is the dependent variable that is being predicted by the regression equation.</t>
        </r>
      </text>
    </comment>
  </commentList>
</comments>
</file>

<file path=xl/sharedStrings.xml><?xml version="1.0" encoding="utf-8"?>
<sst xmlns="http://schemas.openxmlformats.org/spreadsheetml/2006/main" count="251" uniqueCount="117">
  <si>
    <t>Forecasting - Moving Average</t>
  </si>
  <si>
    <t># periods to average</t>
  </si>
  <si>
    <t>Data</t>
  </si>
  <si>
    <t>Error analysis</t>
  </si>
  <si>
    <t>Period</t>
  </si>
  <si>
    <t>Demand</t>
  </si>
  <si>
    <t>Next period forecast</t>
  </si>
  <si>
    <t>Forecast</t>
  </si>
  <si>
    <t>Error</t>
  </si>
  <si>
    <t>Absolute</t>
  </si>
  <si>
    <t>Squared</t>
  </si>
  <si>
    <t>Bias (Mean Error)</t>
  </si>
  <si>
    <t>MAD (Mean Absolute Deviation)</t>
  </si>
  <si>
    <t>MSE (Mean Squared Error)</t>
  </si>
  <si>
    <t>Standard Error</t>
  </si>
  <si>
    <t>Total</t>
  </si>
  <si>
    <t>Average</t>
  </si>
  <si>
    <t>Bias</t>
  </si>
  <si>
    <t>MAD</t>
  </si>
  <si>
    <t>MSE</t>
  </si>
  <si>
    <t>SE</t>
  </si>
  <si>
    <t>&lt;--- Use '1' for the NAÏVE FORECAST</t>
  </si>
  <si>
    <t>Weights</t>
  </si>
  <si>
    <t>Seasonal</t>
  </si>
  <si>
    <t>Smoothed</t>
  </si>
  <si>
    <t>Intercept</t>
  </si>
  <si>
    <t>Slope</t>
  </si>
  <si>
    <t>2 periods ago</t>
  </si>
  <si>
    <t>3 periods ago</t>
  </si>
  <si>
    <t>4 periods ago</t>
  </si>
  <si>
    <t>1 period ago</t>
  </si>
  <si>
    <t>Period to Weigh</t>
  </si>
  <si>
    <t>Forecasting - Weighted Moving Average</t>
  </si>
  <si>
    <t>alpha</t>
  </si>
  <si>
    <t>Forecasting - Exponential Smoothing</t>
  </si>
  <si>
    <t>&lt;--- Use '1.00' for the NAÏVE FORECAST</t>
  </si>
  <si>
    <t># seasons</t>
  </si>
  <si>
    <t>Time</t>
  </si>
  <si>
    <t>Avg</t>
  </si>
  <si>
    <t>Diff</t>
  </si>
  <si>
    <t>seasonal 2</t>
  </si>
  <si>
    <t>2 season A</t>
  </si>
  <si>
    <t>2 season B</t>
  </si>
  <si>
    <t>3 season A</t>
  </si>
  <si>
    <t>3 season B</t>
  </si>
  <si>
    <t>3 season C</t>
  </si>
  <si>
    <t>seasonal 3</t>
  </si>
  <si>
    <t>4 season A</t>
  </si>
  <si>
    <t>4 season B</t>
  </si>
  <si>
    <t>4 season C</t>
  </si>
  <si>
    <t>4 season D</t>
  </si>
  <si>
    <t>seasonal 4</t>
  </si>
  <si>
    <t>Forecasting - Additive Decomposition (Seasonality)</t>
  </si>
  <si>
    <t>Unadj Forecast</t>
  </si>
  <si>
    <t>slope</t>
  </si>
  <si>
    <t>intercept</t>
  </si>
  <si>
    <t>Observations</t>
  </si>
  <si>
    <t>Predicted Y value</t>
  </si>
  <si>
    <t>X data</t>
  </si>
  <si>
    <t>Correlation Coefficient</t>
  </si>
  <si>
    <t>Coefficient of determination</t>
  </si>
  <si>
    <t>Forecasting - Trend Analysis over Time</t>
  </si>
  <si>
    <t>Regression Equation</t>
  </si>
  <si>
    <t>Obs 1</t>
  </si>
  <si>
    <t>Obs 2</t>
  </si>
  <si>
    <t>Obs 3</t>
  </si>
  <si>
    <t>Obs 4</t>
  </si>
  <si>
    <t>Obs 5</t>
  </si>
  <si>
    <t>Obs 6</t>
  </si>
  <si>
    <t>Obs 7</t>
  </si>
  <si>
    <t>Obs 8</t>
  </si>
  <si>
    <t>Obs 9</t>
  </si>
  <si>
    <t>Obs 10</t>
  </si>
  <si>
    <t>Forecasting - Least Squares Regression</t>
  </si>
  <si>
    <t>Projections</t>
  </si>
  <si>
    <t>Projected X value</t>
  </si>
  <si>
    <t>X-data</t>
  </si>
  <si>
    <t>Y-data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</si>
  <si>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</si>
  <si>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</si>
  <si>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</si>
  <si>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</si>
  <si>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</si>
  <si>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</si>
  <si>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</si>
  <si>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</si>
  <si>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</si>
  <si>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</si>
  <si>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</si>
  <si>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</si>
  <si>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</si>
  <si>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</si>
  <si>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</si>
  <si>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</si>
  <si>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</si>
  <si>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</si>
  <si>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</si>
  <si>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</si>
  <si>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</si>
  <si>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</si>
  <si>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 Quarter 1</t>
  </si>
  <si>
    <t>Year 1 Quarter 2</t>
  </si>
  <si>
    <t>Year 1 Quarter 3</t>
  </si>
  <si>
    <t>Year 1 Quarter 4</t>
  </si>
  <si>
    <t>Year 2 Quarter 1</t>
  </si>
  <si>
    <t>Year 2 Quarter 2</t>
  </si>
  <si>
    <t>Year 2 Quarter 3</t>
  </si>
  <si>
    <t>Year 2 Quarter 4</t>
  </si>
  <si>
    <t>Year 3 Quarter 1</t>
  </si>
  <si>
    <t>Year 3 Quarter 2</t>
  </si>
  <si>
    <t>Year 3 Quarter 3</t>
  </si>
  <si>
    <t>Year 3 Quarter 4</t>
  </si>
  <si>
    <t>Year 4 Quarter 1</t>
  </si>
  <si>
    <t>Year 4 Quarter 2</t>
  </si>
  <si>
    <t>Year 4 Quarter 3</t>
  </si>
  <si>
    <t>Year 4 Quarter 4</t>
  </si>
  <si>
    <t>Regression Statistics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</si>
</sst>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"/>
    <numFmt numFmtId="170" formatCode="0.00000"/>
    <numFmt numFmtId="171" formatCode="0.000000"/>
    <numFmt numFmtId="172" formatCode="0.0%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/yy"/>
    <numFmt numFmtId="187" formatCode="m/d"/>
    <numFmt numFmtId="188" formatCode="_(* #,##0.0_);_(* \(#,##0.0\);_(* &quot;-&quot;?_);_(@_)"/>
    <numFmt numFmtId="189" formatCode="[$€-2]\ #,##0.00_);[Red]\([$€-2]\ #,##0.00\)"/>
    <numFmt numFmtId="190" formatCode="[$-409]dddd\,\ mmmm\ dd\,\ yyyy"/>
    <numFmt numFmtId="191" formatCode="mmm\-yyyy"/>
    <numFmt numFmtId="192" formatCode=".00%"/>
    <numFmt numFmtId="193" formatCode="_(* #,##0.0000_);_(* \(#,##0.0000\);_(* &quot;-&quot;??_);_(@_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16"/>
      <name val="Arial"/>
      <family val="2"/>
    </font>
    <font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4.25"/>
      <color indexed="8"/>
      <name val="Arial"/>
      <family val="2"/>
    </font>
    <font>
      <sz val="9.25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8"/>
      <color indexed="8"/>
      <name val="Arial"/>
      <family val="2"/>
    </font>
    <font>
      <sz val="6.7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21"/>
      </right>
      <top>
        <color indexed="63"/>
      </top>
      <bottom style="medium">
        <color indexed="38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0" fillId="35" borderId="0" xfId="0" applyNumberFormat="1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horizontal="right"/>
      <protection/>
    </xf>
    <xf numFmtId="0" fontId="0" fillId="35" borderId="15" xfId="0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35" borderId="0" xfId="0" applyNumberFormat="1" applyFont="1" applyFill="1" applyAlignment="1" applyProtection="1">
      <alignment/>
      <protection/>
    </xf>
    <xf numFmtId="43" fontId="10" fillId="34" borderId="14" xfId="42" applyFont="1" applyFill="1" applyBorder="1" applyAlignment="1" applyProtection="1">
      <alignment/>
      <protection/>
    </xf>
    <xf numFmtId="43" fontId="0" fillId="34" borderId="18" xfId="42" applyFont="1" applyFill="1" applyBorder="1" applyAlignment="1" applyProtection="1">
      <alignment/>
      <protection/>
    </xf>
    <xf numFmtId="43" fontId="0" fillId="34" borderId="19" xfId="42" applyFont="1" applyFill="1" applyBorder="1" applyAlignment="1" applyProtection="1">
      <alignment/>
      <protection/>
    </xf>
    <xf numFmtId="43" fontId="0" fillId="35" borderId="0" xfId="42" applyFont="1" applyFill="1" applyBorder="1" applyAlignment="1" applyProtection="1">
      <alignment/>
      <protection/>
    </xf>
    <xf numFmtId="43" fontId="0" fillId="36" borderId="20" xfId="42" applyFont="1" applyFill="1" applyBorder="1" applyAlignment="1" applyProtection="1">
      <alignment/>
      <protection locked="0"/>
    </xf>
    <xf numFmtId="43" fontId="0" fillId="36" borderId="21" xfId="42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 horizontal="right"/>
      <protection/>
    </xf>
    <xf numFmtId="0" fontId="0" fillId="35" borderId="18" xfId="0" applyFont="1" applyFill="1" applyBorder="1" applyAlignment="1" applyProtection="1">
      <alignment/>
      <protection/>
    </xf>
    <xf numFmtId="43" fontId="0" fillId="35" borderId="18" xfId="42" applyFont="1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4" fontId="0" fillId="35" borderId="0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 locked="0"/>
    </xf>
    <xf numFmtId="0" fontId="1" fillId="35" borderId="22" xfId="0" applyFont="1" applyFill="1" applyBorder="1" applyAlignment="1" applyProtection="1">
      <alignment/>
      <protection/>
    </xf>
    <xf numFmtId="43" fontId="0" fillId="35" borderId="0" xfId="0" applyNumberFormat="1" applyFont="1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 horizontal="center"/>
      <protection/>
    </xf>
    <xf numFmtId="43" fontId="0" fillId="36" borderId="24" xfId="42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/>
    </xf>
    <xf numFmtId="180" fontId="0" fillId="34" borderId="14" xfId="42" applyNumberFormat="1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7" borderId="16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43" fontId="0" fillId="33" borderId="20" xfId="42" applyFont="1" applyFill="1" applyBorder="1" applyAlignment="1" applyProtection="1">
      <alignment/>
      <protection locked="0"/>
    </xf>
    <xf numFmtId="43" fontId="0" fillId="33" borderId="21" xfId="42" applyFont="1" applyFill="1" applyBorder="1" applyAlignment="1" applyProtection="1">
      <alignment/>
      <protection locked="0"/>
    </xf>
    <xf numFmtId="43" fontId="0" fillId="34" borderId="14" xfId="42" applyFont="1" applyFill="1" applyBorder="1" applyAlignment="1" applyProtection="1">
      <alignment/>
      <protection/>
    </xf>
    <xf numFmtId="43" fontId="0" fillId="33" borderId="14" xfId="42" applyNumberFormat="1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/>
    </xf>
    <xf numFmtId="43" fontId="0" fillId="34" borderId="19" xfId="42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" fillId="35" borderId="14" xfId="0" applyFont="1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left"/>
      <protection/>
    </xf>
    <xf numFmtId="180" fontId="0" fillId="34" borderId="18" xfId="42" applyNumberFormat="1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right"/>
      <protection/>
    </xf>
    <xf numFmtId="43" fontId="0" fillId="35" borderId="0" xfId="57" applyNumberFormat="1" applyFill="1" applyProtection="1">
      <alignment/>
      <protection/>
    </xf>
    <xf numFmtId="0" fontId="0" fillId="35" borderId="0" xfId="57" applyNumberFormat="1" applyFill="1" applyProtection="1">
      <alignment/>
      <protection/>
    </xf>
    <xf numFmtId="0" fontId="0" fillId="37" borderId="26" xfId="0" applyFont="1" applyFill="1" applyBorder="1" applyAlignment="1" applyProtection="1">
      <alignment horizontal="right"/>
      <protection locked="0"/>
    </xf>
    <xf numFmtId="0" fontId="0" fillId="37" borderId="15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week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875"/>
          <c:w val="0.9707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MovAvg!$B$6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MovAvg!$A$7:$A$30</c:f>
              <c:strCache/>
            </c:strRef>
          </c:cat>
          <c:val>
            <c:numRef>
              <c:f>MovAvg!$B$7:$B$30</c:f>
              <c:numCache/>
            </c:numRef>
          </c:val>
          <c:smooth val="0"/>
        </c:ser>
        <c:ser>
          <c:idx val="1"/>
          <c:order val="1"/>
          <c:tx>
            <c:strRef>
              <c:f>MovAvg!$J$6</c:f>
              <c:strCache>
                <c:ptCount val="1"/>
                <c:pt idx="0">
                  <c:v>Forecast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MovAvg!$A$7:$A$30</c:f>
              <c:strCache/>
            </c:strRef>
          </c:cat>
          <c:val>
            <c:numRef>
              <c:f>MovAvg!$J$7:$J$31</c:f>
              <c:numCache/>
            </c:numRef>
          </c:val>
          <c:smooth val="0"/>
        </c:ser>
        <c:marker val="1"/>
        <c:axId val="42473773"/>
        <c:axId val="46719638"/>
      </c:line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7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1"/>
          <c:y val="0.008"/>
          <c:w val="0.291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875"/>
          <c:w val="0.970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WtMovAvg!$B$6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WtMovAvg!$A$7:$A$30</c:f>
              <c:strCache/>
            </c:strRef>
          </c:cat>
          <c:val>
            <c:numRef>
              <c:f>WtMovAvg!$B$7:$B$30</c:f>
              <c:numCache/>
            </c:numRef>
          </c:val>
          <c:smooth val="0"/>
        </c:ser>
        <c:ser>
          <c:idx val="1"/>
          <c:order val="1"/>
          <c:tx>
            <c:strRef>
              <c:f>WtMovAvg!$L$6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WtMovAvg!$A$7:$A$30</c:f>
              <c:strCache/>
            </c:strRef>
          </c:cat>
          <c:val>
            <c:numRef>
              <c:f>WtMovAvg!$L$7:$L$31</c:f>
              <c:numCache/>
            </c:numRef>
          </c:val>
          <c:smooth val="0"/>
        </c:ser>
        <c:marker val="1"/>
        <c:axId val="17823559"/>
        <c:axId val="26194304"/>
      </c:line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auto val="1"/>
        <c:lblOffset val="100"/>
        <c:tickLblSkip val="1"/>
        <c:noMultiLvlLbl val="0"/>
      </c:catAx>
      <c:valAx>
        <c:axId val="26194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35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125"/>
          <c:y val="0.008"/>
          <c:w val="0.292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975"/>
          <c:w val="0.9702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ExpSm!$B$6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ExpSm!$A$7:$A$30</c:f>
              <c:strCache/>
            </c:strRef>
          </c:cat>
          <c:val>
            <c:numRef>
              <c:f>ExpSm!$B$7:$B$30</c:f>
              <c:numCache/>
            </c:numRef>
          </c:val>
          <c:smooth val="0"/>
        </c:ser>
        <c:ser>
          <c:idx val="1"/>
          <c:order val="1"/>
          <c:tx>
            <c:strRef>
              <c:f>ExpSm!$J$6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ExpSm!$A$7:$A$30</c:f>
              <c:strCache/>
            </c:strRef>
          </c:cat>
          <c:val>
            <c:numRef>
              <c:f>ExpSm!$J$7:$J$31</c:f>
              <c:numCache/>
            </c:numRef>
          </c:val>
          <c:smooth val="0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21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925"/>
          <c:y val="0.008"/>
          <c:w val="0.295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11525"/>
          <c:w val="0.9702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Time!$B$4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Time!$A$5:$A$28</c:f>
              <c:strCache/>
            </c:strRef>
          </c:cat>
          <c:val>
            <c:numRef>
              <c:f>Time!$B$5:$B$28</c:f>
              <c:numCache/>
            </c:numRef>
          </c:val>
          <c:smooth val="0"/>
        </c:ser>
        <c:ser>
          <c:idx val="1"/>
          <c:order val="1"/>
          <c:tx>
            <c:strRef>
              <c:f>Time!$L$4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Time!$A$5:$A$28</c:f>
              <c:strCache/>
            </c:strRef>
          </c:cat>
          <c:val>
            <c:numRef>
              <c:f>Time!$L$5:$L$29</c:f>
              <c:numCache/>
            </c:numRef>
          </c:val>
          <c:smooth val="0"/>
        </c:ser>
        <c:marker val="1"/>
        <c:axId val="36730331"/>
        <c:axId val="62137524"/>
      </c:line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3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725"/>
          <c:y val="0.0095"/>
          <c:w val="0.272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875"/>
          <c:w val="0.970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AddDec!$B$6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AddDec!$A$7:$A$30</c:f>
              <c:strCache/>
            </c:strRef>
          </c:cat>
          <c:val>
            <c:numRef>
              <c:f>AddDec!$B$7:$B$30</c:f>
              <c:numCache/>
            </c:numRef>
          </c:val>
          <c:smooth val="0"/>
        </c:ser>
        <c:ser>
          <c:idx val="1"/>
          <c:order val="1"/>
          <c:tx>
            <c:strRef>
              <c:f>AddDec!$P$6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AddDec!$A$7:$A$30</c:f>
              <c:strCache/>
            </c:strRef>
          </c:cat>
          <c:val>
            <c:numRef>
              <c:f>AddDec!$P$7:$P$31</c:f>
              <c:numCache/>
            </c:numRef>
          </c:val>
          <c:smooth val="0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668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1"/>
          <c:y val="0.008"/>
          <c:w val="0.294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365"/>
          <c:w val="0.932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Regr!$C$4</c:f>
              <c:strCache>
                <c:ptCount val="1"/>
                <c:pt idx="0">
                  <c:v>Y-data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Regr!$B$5:$B$104</c:f>
              <c:numCache/>
            </c:numRef>
          </c:xVal>
          <c:yVal>
            <c:numRef>
              <c:f>Regr!$C$5:$C$104</c:f>
              <c:numCache/>
            </c:numRef>
          </c:yVal>
          <c:smooth val="0"/>
        </c:ser>
        <c:axId val="66880751"/>
        <c:axId val="65055848"/>
      </c:scatterChart>
      <c:valAx>
        <c:axId val="66880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X-data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crossBetween val="midCat"/>
        <c:dispUnits/>
      </c:valAx>
      <c:valAx>
        <c:axId val="6505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Y-data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07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11</xdr:row>
      <xdr:rowOff>19050</xdr:rowOff>
    </xdr:from>
    <xdr:to>
      <xdr:col>5</xdr:col>
      <xdr:colOff>2190750</xdr:colOff>
      <xdr:row>33</xdr:row>
      <xdr:rowOff>114300</xdr:rowOff>
    </xdr:to>
    <xdr:graphicFrame>
      <xdr:nvGraphicFramePr>
        <xdr:cNvPr id="1" name="Chart 17"/>
        <xdr:cNvGraphicFramePr/>
      </xdr:nvGraphicFramePr>
      <xdr:xfrm>
        <a:off x="2505075" y="1885950"/>
        <a:ext cx="65913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11</xdr:row>
      <xdr:rowOff>38100</xdr:rowOff>
    </xdr:from>
    <xdr:to>
      <xdr:col>7</xdr:col>
      <xdr:colOff>838200</xdr:colOff>
      <xdr:row>33</xdr:row>
      <xdr:rowOff>133350</xdr:rowOff>
    </xdr:to>
    <xdr:graphicFrame>
      <xdr:nvGraphicFramePr>
        <xdr:cNvPr id="1" name="Chart 5"/>
        <xdr:cNvGraphicFramePr/>
      </xdr:nvGraphicFramePr>
      <xdr:xfrm>
        <a:off x="2505075" y="1905000"/>
        <a:ext cx="65627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11</xdr:row>
      <xdr:rowOff>19050</xdr:rowOff>
    </xdr:from>
    <xdr:to>
      <xdr:col>5</xdr:col>
      <xdr:colOff>2095500</xdr:colOff>
      <xdr:row>33</xdr:row>
      <xdr:rowOff>66675</xdr:rowOff>
    </xdr:to>
    <xdr:graphicFrame>
      <xdr:nvGraphicFramePr>
        <xdr:cNvPr id="1" name="Chart 4"/>
        <xdr:cNvGraphicFramePr/>
      </xdr:nvGraphicFramePr>
      <xdr:xfrm>
        <a:off x="2505075" y="1885950"/>
        <a:ext cx="64960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14</xdr:row>
      <xdr:rowOff>28575</xdr:rowOff>
    </xdr:from>
    <xdr:to>
      <xdr:col>5</xdr:col>
      <xdr:colOff>2095500</xdr:colOff>
      <xdr:row>33</xdr:row>
      <xdr:rowOff>0</xdr:rowOff>
    </xdr:to>
    <xdr:graphicFrame>
      <xdr:nvGraphicFramePr>
        <xdr:cNvPr id="1" name="Chart 9"/>
        <xdr:cNvGraphicFramePr/>
      </xdr:nvGraphicFramePr>
      <xdr:xfrm>
        <a:off x="2514600" y="2409825"/>
        <a:ext cx="6486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38100</xdr:rowOff>
    </xdr:from>
    <xdr:to>
      <xdr:col>5</xdr:col>
      <xdr:colOff>2133600</xdr:colOff>
      <xdr:row>33</xdr:row>
      <xdr:rowOff>133350</xdr:rowOff>
    </xdr:to>
    <xdr:graphicFrame>
      <xdr:nvGraphicFramePr>
        <xdr:cNvPr id="1" name="Chart 4"/>
        <xdr:cNvGraphicFramePr/>
      </xdr:nvGraphicFramePr>
      <xdr:xfrm>
        <a:off x="2514600" y="1905000"/>
        <a:ext cx="65246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57150</xdr:rowOff>
    </xdr:from>
    <xdr:to>
      <xdr:col>6</xdr:col>
      <xdr:colOff>2181225</xdr:colOff>
      <xdr:row>34</xdr:row>
      <xdr:rowOff>152400</xdr:rowOff>
    </xdr:to>
    <xdr:graphicFrame>
      <xdr:nvGraphicFramePr>
        <xdr:cNvPr id="1" name="Chart 8"/>
        <xdr:cNvGraphicFramePr/>
      </xdr:nvGraphicFramePr>
      <xdr:xfrm>
        <a:off x="2581275" y="3095625"/>
        <a:ext cx="6429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46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0.7109375" style="1" customWidth="1"/>
    <col min="2" max="2" width="16.57421875" style="1" bestFit="1" customWidth="1"/>
    <col min="3" max="3" width="7.28125" style="1" customWidth="1"/>
    <col min="4" max="4" width="30.28125" style="1" customWidth="1"/>
    <col min="5" max="5" width="28.7109375" style="1" bestFit="1" customWidth="1"/>
    <col min="6" max="6" width="33.140625" style="1" customWidth="1"/>
    <col min="7" max="7" width="2.00390625" style="1" hidden="1" customWidth="1"/>
    <col min="8" max="8" width="8.421875" style="1" bestFit="1" customWidth="1"/>
    <col min="9" max="9" width="12.57421875" style="1" customWidth="1"/>
    <col min="10" max="10" width="13.421875" style="1" bestFit="1" customWidth="1"/>
    <col min="11" max="12" width="15.00390625" style="1" customWidth="1"/>
    <col min="13" max="13" width="17.7109375" style="1" bestFit="1" customWidth="1"/>
    <col min="14" max="16384" width="9.140625" style="1" customWidth="1"/>
  </cols>
  <sheetData>
    <row r="1" spans="1:7" ht="18">
      <c r="A1" s="8" t="s">
        <v>0</v>
      </c>
      <c r="B1" s="9"/>
      <c r="C1" s="9"/>
      <c r="G1" s="1">
        <v>1</v>
      </c>
    </row>
    <row r="2" spans="1:7" ht="12.75">
      <c r="A2" s="2"/>
      <c r="B2" s="2"/>
      <c r="G2" s="1">
        <v>2</v>
      </c>
    </row>
    <row r="3" spans="1:7" ht="12.75">
      <c r="A3" s="50" t="s">
        <v>1</v>
      </c>
      <c r="B3" s="3">
        <v>2</v>
      </c>
      <c r="C3" s="19" t="s">
        <v>21</v>
      </c>
      <c r="D3" s="19"/>
      <c r="G3" s="1">
        <v>3</v>
      </c>
    </row>
    <row r="4" ht="12.75">
      <c r="G4" s="1">
        <v>4</v>
      </c>
    </row>
    <row r="5" spans="1:10" ht="13.5" thickBot="1">
      <c r="A5" s="68" t="s">
        <v>2</v>
      </c>
      <c r="J5" s="10" t="s">
        <v>3</v>
      </c>
    </row>
    <row r="6" spans="1:13" ht="12.75">
      <c r="A6" s="18" t="s">
        <v>4</v>
      </c>
      <c r="B6" s="24" t="s">
        <v>5</v>
      </c>
      <c r="D6" s="4" t="s">
        <v>6</v>
      </c>
      <c r="E6" s="29">
        <f>VLOOKUP(1,G8:J31,4,FALSE)</f>
        <v>18.5</v>
      </c>
      <c r="H6" s="44" t="s">
        <v>4</v>
      </c>
      <c r="I6" s="36" t="str">
        <f>B6</f>
        <v>Demand</v>
      </c>
      <c r="J6" s="36" t="s">
        <v>7</v>
      </c>
      <c r="K6" s="36" t="s">
        <v>8</v>
      </c>
      <c r="L6" s="36" t="s">
        <v>9</v>
      </c>
      <c r="M6" s="23" t="s">
        <v>10</v>
      </c>
    </row>
    <row r="7" spans="1:13" ht="12.75">
      <c r="A7" s="25" t="s">
        <v>78</v>
      </c>
      <c r="B7" s="33">
        <v>17</v>
      </c>
      <c r="D7" s="5"/>
      <c r="E7" s="30"/>
      <c r="H7" s="45" t="str">
        <f aca="true" t="shared" si="0" ref="H7:H29">IF(ISBLANK(A7),"",A7)</f>
        <v>Week 1</v>
      </c>
      <c r="I7" s="49">
        <f>IF(ISBLANK(B7),"",B7)</f>
        <v>17</v>
      </c>
      <c r="J7" s="11"/>
      <c r="K7" s="11"/>
      <c r="L7" s="11"/>
      <c r="M7" s="37"/>
    </row>
    <row r="8" spans="1:13" ht="12.75">
      <c r="A8" s="25" t="s">
        <v>79</v>
      </c>
      <c r="B8" s="33">
        <v>21</v>
      </c>
      <c r="D8" s="6" t="s">
        <v>11</v>
      </c>
      <c r="E8" s="30">
        <f>K33</f>
        <v>0</v>
      </c>
      <c r="G8" s="1">
        <f aca="true" t="shared" si="1" ref="G8:G31">IF(ISBLANK(B8),IF(J8="",0,1),0)</f>
        <v>0</v>
      </c>
      <c r="H8" s="45" t="str">
        <f t="shared" si="0"/>
        <v>Week 2</v>
      </c>
      <c r="I8" s="49">
        <f aca="true" t="shared" si="2" ref="I8:I30">IF(ISBLANK(B8),"",B8)</f>
        <v>21</v>
      </c>
      <c r="J8" s="32">
        <f>IF(ISBLANK(B7),"",IF($B$3=1,B7,""))</f>
      </c>
      <c r="K8" s="32">
        <f aca="true" t="shared" si="3" ref="K8:K30">IF(ISBLANK(B8),"",IF(J8="","",B8-J8))</f>
      </c>
      <c r="L8" s="32">
        <f>IF(K8="","",ABS(K8))</f>
      </c>
      <c r="M8" s="38">
        <f>IF(K8="","",K8^2)</f>
      </c>
    </row>
    <row r="9" spans="1:13" ht="12.75">
      <c r="A9" s="25" t="s">
        <v>80</v>
      </c>
      <c r="B9" s="33">
        <v>19</v>
      </c>
      <c r="D9" s="6" t="s">
        <v>12</v>
      </c>
      <c r="E9" s="30">
        <f>L33</f>
        <v>2.7</v>
      </c>
      <c r="G9" s="1">
        <f t="shared" si="1"/>
        <v>0</v>
      </c>
      <c r="H9" s="45" t="str">
        <f t="shared" si="0"/>
        <v>Week 3</v>
      </c>
      <c r="I9" s="49">
        <f t="shared" si="2"/>
        <v>19</v>
      </c>
      <c r="J9" s="43">
        <f>IF(ISBLANK(B8),"",IF($B$3=1,B8,IF($B$3=2,AVERAGE(B7:B8),"")))</f>
        <v>19</v>
      </c>
      <c r="K9" s="32">
        <f t="shared" si="3"/>
        <v>0</v>
      </c>
      <c r="L9" s="32">
        <f>IF(K9="","",ABS(K9))</f>
        <v>0</v>
      </c>
      <c r="M9" s="38">
        <f>IF(K9="","",K9^2)</f>
        <v>0</v>
      </c>
    </row>
    <row r="10" spans="1:13" ht="12.75">
      <c r="A10" s="25" t="s">
        <v>81</v>
      </c>
      <c r="B10" s="33">
        <v>23</v>
      </c>
      <c r="D10" s="6" t="s">
        <v>13</v>
      </c>
      <c r="E10" s="30">
        <f>M33</f>
        <v>11.25</v>
      </c>
      <c r="G10" s="1">
        <f t="shared" si="1"/>
        <v>0</v>
      </c>
      <c r="H10" s="45" t="str">
        <f t="shared" si="0"/>
        <v>Week 4</v>
      </c>
      <c r="I10" s="49">
        <f t="shared" si="2"/>
        <v>23</v>
      </c>
      <c r="J10" s="43">
        <f>IF(ISBLANK(B9),"",IF($B$3=1,B9,IF($B$3=2,AVERAGE(B8:B9),IF($B$3=3,AVERAGE(B7:B9),""))))</f>
        <v>20</v>
      </c>
      <c r="K10" s="32">
        <f t="shared" si="3"/>
        <v>3</v>
      </c>
      <c r="L10" s="32">
        <f aca="true" t="shared" si="4" ref="L10:L29">IF(K10="","",ABS(K10))</f>
        <v>3</v>
      </c>
      <c r="M10" s="38">
        <f aca="true" t="shared" si="5" ref="M10:M29">IF(K10="","",K10^2)</f>
        <v>9</v>
      </c>
    </row>
    <row r="11" spans="1:13" ht="13.5" thickBot="1">
      <c r="A11" s="25" t="s">
        <v>82</v>
      </c>
      <c r="B11" s="33">
        <v>18</v>
      </c>
      <c r="D11" s="7" t="s">
        <v>14</v>
      </c>
      <c r="E11" s="31">
        <f>M35</f>
        <v>3.75</v>
      </c>
      <c r="G11" s="1">
        <f t="shared" si="1"/>
        <v>0</v>
      </c>
      <c r="H11" s="45" t="str">
        <f t="shared" si="0"/>
        <v>Week 5</v>
      </c>
      <c r="I11" s="49">
        <f t="shared" si="2"/>
        <v>18</v>
      </c>
      <c r="J11" s="43">
        <f aca="true" t="shared" si="6" ref="J11:J30">IF(ISBLANK(B10),"",IF($B$3=1,B10,IF($B$3=2,AVERAGE(B9:B10),IF($B$3=3,AVERAGE(B8:B10),IF($B$3=4,AVERAGE(B7:B10),"")))))</f>
        <v>21</v>
      </c>
      <c r="K11" s="32">
        <f t="shared" si="3"/>
        <v>-3</v>
      </c>
      <c r="L11" s="32">
        <f t="shared" si="4"/>
        <v>3</v>
      </c>
      <c r="M11" s="38">
        <f t="shared" si="5"/>
        <v>9</v>
      </c>
    </row>
    <row r="12" spans="1:13" ht="12.75">
      <c r="A12" s="25" t="s">
        <v>83</v>
      </c>
      <c r="B12" s="33">
        <v>16</v>
      </c>
      <c r="C12" s="9"/>
      <c r="D12" s="9"/>
      <c r="E12" s="9"/>
      <c r="F12" s="9"/>
      <c r="G12" s="1">
        <f t="shared" si="1"/>
        <v>0</v>
      </c>
      <c r="H12" s="45" t="str">
        <f t="shared" si="0"/>
        <v>Week 6</v>
      </c>
      <c r="I12" s="49">
        <f t="shared" si="2"/>
        <v>16</v>
      </c>
      <c r="J12" s="43">
        <f t="shared" si="6"/>
        <v>20.5</v>
      </c>
      <c r="K12" s="32">
        <f t="shared" si="3"/>
        <v>-4.5</v>
      </c>
      <c r="L12" s="32">
        <f t="shared" si="4"/>
        <v>4.5</v>
      </c>
      <c r="M12" s="38">
        <f t="shared" si="5"/>
        <v>20.25</v>
      </c>
    </row>
    <row r="13" spans="1:13" ht="12.75">
      <c r="A13" s="25" t="s">
        <v>84</v>
      </c>
      <c r="B13" s="33">
        <v>20</v>
      </c>
      <c r="C13" s="9"/>
      <c r="D13" s="9"/>
      <c r="E13" s="9"/>
      <c r="F13" s="9"/>
      <c r="G13" s="1">
        <f t="shared" si="1"/>
        <v>0</v>
      </c>
      <c r="H13" s="45" t="str">
        <f t="shared" si="0"/>
        <v>Week 7</v>
      </c>
      <c r="I13" s="49">
        <f t="shared" si="2"/>
        <v>20</v>
      </c>
      <c r="J13" s="43">
        <f t="shared" si="6"/>
        <v>17</v>
      </c>
      <c r="K13" s="32">
        <f t="shared" si="3"/>
        <v>3</v>
      </c>
      <c r="L13" s="32">
        <f t="shared" si="4"/>
        <v>3</v>
      </c>
      <c r="M13" s="38">
        <f t="shared" si="5"/>
        <v>9</v>
      </c>
    </row>
    <row r="14" spans="1:13" ht="12.75">
      <c r="A14" s="25" t="s">
        <v>85</v>
      </c>
      <c r="B14" s="33">
        <v>18</v>
      </c>
      <c r="C14" s="9"/>
      <c r="D14" s="9"/>
      <c r="E14" s="9"/>
      <c r="F14" s="9"/>
      <c r="G14" s="1">
        <f t="shared" si="1"/>
        <v>0</v>
      </c>
      <c r="H14" s="45" t="str">
        <f t="shared" si="0"/>
        <v>Week 8</v>
      </c>
      <c r="I14" s="49">
        <f t="shared" si="2"/>
        <v>18</v>
      </c>
      <c r="J14" s="43">
        <f t="shared" si="6"/>
        <v>18</v>
      </c>
      <c r="K14" s="32">
        <f t="shared" si="3"/>
        <v>0</v>
      </c>
      <c r="L14" s="32">
        <f t="shared" si="4"/>
        <v>0</v>
      </c>
      <c r="M14" s="38">
        <f t="shared" si="5"/>
        <v>0</v>
      </c>
    </row>
    <row r="15" spans="1:13" ht="12.75">
      <c r="A15" s="25" t="s">
        <v>86</v>
      </c>
      <c r="B15" s="33">
        <v>22</v>
      </c>
      <c r="C15" s="9"/>
      <c r="D15" s="9"/>
      <c r="E15" s="9"/>
      <c r="F15" s="9"/>
      <c r="G15" s="1">
        <f t="shared" si="1"/>
        <v>0</v>
      </c>
      <c r="H15" s="45" t="str">
        <f t="shared" si="0"/>
        <v>Week 9</v>
      </c>
      <c r="I15" s="49">
        <f t="shared" si="2"/>
        <v>22</v>
      </c>
      <c r="J15" s="43">
        <f t="shared" si="6"/>
        <v>19</v>
      </c>
      <c r="K15" s="32">
        <f t="shared" si="3"/>
        <v>3</v>
      </c>
      <c r="L15" s="32">
        <f t="shared" si="4"/>
        <v>3</v>
      </c>
      <c r="M15" s="38">
        <f t="shared" si="5"/>
        <v>9</v>
      </c>
    </row>
    <row r="16" spans="1:13" ht="12.75">
      <c r="A16" s="25" t="s">
        <v>87</v>
      </c>
      <c r="B16" s="33">
        <v>20</v>
      </c>
      <c r="C16" s="9"/>
      <c r="D16" s="9"/>
      <c r="E16" s="9"/>
      <c r="F16" s="9"/>
      <c r="G16" s="1">
        <f t="shared" si="1"/>
        <v>0</v>
      </c>
      <c r="H16" s="45" t="str">
        <f t="shared" si="0"/>
        <v>Week 10</v>
      </c>
      <c r="I16" s="49">
        <f t="shared" si="2"/>
        <v>20</v>
      </c>
      <c r="J16" s="43">
        <f t="shared" si="6"/>
        <v>20</v>
      </c>
      <c r="K16" s="32">
        <f t="shared" si="3"/>
        <v>0</v>
      </c>
      <c r="L16" s="32">
        <f t="shared" si="4"/>
        <v>0</v>
      </c>
      <c r="M16" s="38">
        <f t="shared" si="5"/>
        <v>0</v>
      </c>
    </row>
    <row r="17" spans="1:13" ht="12.75">
      <c r="A17" s="25" t="s">
        <v>88</v>
      </c>
      <c r="B17" s="33">
        <v>15</v>
      </c>
      <c r="C17" s="9"/>
      <c r="D17" s="9"/>
      <c r="E17" s="9"/>
      <c r="F17" s="9"/>
      <c r="G17" s="1">
        <f t="shared" si="1"/>
        <v>0</v>
      </c>
      <c r="H17" s="45" t="str">
        <f t="shared" si="0"/>
        <v>Week 11</v>
      </c>
      <c r="I17" s="49">
        <f t="shared" si="2"/>
        <v>15</v>
      </c>
      <c r="J17" s="43">
        <f t="shared" si="6"/>
        <v>21</v>
      </c>
      <c r="K17" s="32">
        <f t="shared" si="3"/>
        <v>-6</v>
      </c>
      <c r="L17" s="32">
        <f t="shared" si="4"/>
        <v>6</v>
      </c>
      <c r="M17" s="38">
        <f t="shared" si="5"/>
        <v>36</v>
      </c>
    </row>
    <row r="18" spans="1:13" ht="12.75">
      <c r="A18" s="25" t="s">
        <v>89</v>
      </c>
      <c r="B18" s="33">
        <v>22</v>
      </c>
      <c r="C18" s="9"/>
      <c r="D18" s="9"/>
      <c r="E18" s="9"/>
      <c r="F18" s="9"/>
      <c r="G18" s="1">
        <f t="shared" si="1"/>
        <v>0</v>
      </c>
      <c r="H18" s="45" t="str">
        <f t="shared" si="0"/>
        <v>Week 12</v>
      </c>
      <c r="I18" s="49">
        <f t="shared" si="2"/>
        <v>22</v>
      </c>
      <c r="J18" s="43">
        <f t="shared" si="6"/>
        <v>17.5</v>
      </c>
      <c r="K18" s="32">
        <f t="shared" si="3"/>
        <v>4.5</v>
      </c>
      <c r="L18" s="32">
        <f t="shared" si="4"/>
        <v>4.5</v>
      </c>
      <c r="M18" s="38">
        <f t="shared" si="5"/>
        <v>20.25</v>
      </c>
    </row>
    <row r="19" spans="1:13" ht="12.75">
      <c r="A19" s="25"/>
      <c r="B19" s="33"/>
      <c r="C19" s="9"/>
      <c r="D19" s="9"/>
      <c r="E19" s="9"/>
      <c r="F19" s="9"/>
      <c r="G19" s="1">
        <f t="shared" si="1"/>
        <v>1</v>
      </c>
      <c r="H19" s="45">
        <f t="shared" si="0"/>
      </c>
      <c r="I19" s="49">
        <f t="shared" si="2"/>
      </c>
      <c r="J19" s="43">
        <f t="shared" si="6"/>
        <v>18.5</v>
      </c>
      <c r="K19" s="32">
        <f t="shared" si="3"/>
      </c>
      <c r="L19" s="32">
        <f t="shared" si="4"/>
      </c>
      <c r="M19" s="38">
        <f t="shared" si="5"/>
      </c>
    </row>
    <row r="20" spans="1:13" ht="12.75">
      <c r="A20" s="25"/>
      <c r="B20" s="33"/>
      <c r="C20" s="9"/>
      <c r="D20" s="9"/>
      <c r="E20" s="9"/>
      <c r="F20" s="9"/>
      <c r="G20" s="1">
        <f t="shared" si="1"/>
        <v>0</v>
      </c>
      <c r="H20" s="45">
        <f t="shared" si="0"/>
      </c>
      <c r="I20" s="49">
        <f t="shared" si="2"/>
      </c>
      <c r="J20" s="43">
        <f t="shared" si="6"/>
      </c>
      <c r="K20" s="32">
        <f t="shared" si="3"/>
      </c>
      <c r="L20" s="32">
        <f t="shared" si="4"/>
      </c>
      <c r="M20" s="38">
        <f t="shared" si="5"/>
      </c>
    </row>
    <row r="21" spans="1:13" ht="12.75">
      <c r="A21" s="25"/>
      <c r="B21" s="33"/>
      <c r="C21" s="9"/>
      <c r="D21" s="9"/>
      <c r="E21" s="9"/>
      <c r="F21" s="9"/>
      <c r="G21" s="1">
        <f t="shared" si="1"/>
        <v>0</v>
      </c>
      <c r="H21" s="45">
        <f t="shared" si="0"/>
      </c>
      <c r="I21" s="49">
        <f t="shared" si="2"/>
      </c>
      <c r="J21" s="43">
        <f t="shared" si="6"/>
      </c>
      <c r="K21" s="32">
        <f t="shared" si="3"/>
      </c>
      <c r="L21" s="32">
        <f t="shared" si="4"/>
      </c>
      <c r="M21" s="38">
        <f t="shared" si="5"/>
      </c>
    </row>
    <row r="22" spans="1:13" ht="12.75">
      <c r="A22" s="25"/>
      <c r="B22" s="33"/>
      <c r="C22" s="9"/>
      <c r="D22" s="9"/>
      <c r="E22" s="9"/>
      <c r="F22" s="9"/>
      <c r="G22" s="1">
        <f t="shared" si="1"/>
        <v>0</v>
      </c>
      <c r="H22" s="45">
        <f t="shared" si="0"/>
      </c>
      <c r="I22" s="49">
        <f t="shared" si="2"/>
      </c>
      <c r="J22" s="43">
        <f t="shared" si="6"/>
      </c>
      <c r="K22" s="32">
        <f t="shared" si="3"/>
      </c>
      <c r="L22" s="32">
        <f t="shared" si="4"/>
      </c>
      <c r="M22" s="38">
        <f t="shared" si="5"/>
      </c>
    </row>
    <row r="23" spans="1:13" ht="12.75">
      <c r="A23" s="25"/>
      <c r="B23" s="33"/>
      <c r="C23" s="9"/>
      <c r="D23" s="9"/>
      <c r="E23" s="9"/>
      <c r="F23" s="9"/>
      <c r="G23" s="1">
        <f t="shared" si="1"/>
        <v>0</v>
      </c>
      <c r="H23" s="45">
        <f t="shared" si="0"/>
      </c>
      <c r="I23" s="49">
        <f t="shared" si="2"/>
      </c>
      <c r="J23" s="43">
        <f t="shared" si="6"/>
      </c>
      <c r="K23" s="32">
        <f t="shared" si="3"/>
      </c>
      <c r="L23" s="32">
        <f t="shared" si="4"/>
      </c>
      <c r="M23" s="38">
        <f t="shared" si="5"/>
      </c>
    </row>
    <row r="24" spans="1:13" ht="12.75">
      <c r="A24" s="25"/>
      <c r="B24" s="33"/>
      <c r="C24" s="9"/>
      <c r="D24" s="9"/>
      <c r="E24" s="9"/>
      <c r="F24" s="9"/>
      <c r="G24" s="1">
        <f t="shared" si="1"/>
        <v>0</v>
      </c>
      <c r="H24" s="45">
        <f t="shared" si="0"/>
      </c>
      <c r="I24" s="49">
        <f t="shared" si="2"/>
      </c>
      <c r="J24" s="43">
        <f t="shared" si="6"/>
      </c>
      <c r="K24" s="32">
        <f t="shared" si="3"/>
      </c>
      <c r="L24" s="32">
        <f t="shared" si="4"/>
      </c>
      <c r="M24" s="38">
        <f t="shared" si="5"/>
      </c>
    </row>
    <row r="25" spans="1:13" ht="12.75">
      <c r="A25" s="25"/>
      <c r="B25" s="33"/>
      <c r="C25" s="9"/>
      <c r="D25" s="9"/>
      <c r="E25" s="9"/>
      <c r="F25" s="9"/>
      <c r="G25" s="1">
        <f t="shared" si="1"/>
        <v>0</v>
      </c>
      <c r="H25" s="45">
        <f t="shared" si="0"/>
      </c>
      <c r="I25" s="49">
        <f t="shared" si="2"/>
      </c>
      <c r="J25" s="43">
        <f t="shared" si="6"/>
      </c>
      <c r="K25" s="32">
        <f t="shared" si="3"/>
      </c>
      <c r="L25" s="32">
        <f t="shared" si="4"/>
      </c>
      <c r="M25" s="38">
        <f t="shared" si="5"/>
      </c>
    </row>
    <row r="26" spans="1:13" ht="12.75">
      <c r="A26" s="25"/>
      <c r="B26" s="33"/>
      <c r="C26" s="9"/>
      <c r="D26" s="9"/>
      <c r="E26" s="9"/>
      <c r="F26" s="9"/>
      <c r="G26" s="1">
        <f t="shared" si="1"/>
        <v>0</v>
      </c>
      <c r="H26" s="45">
        <f t="shared" si="0"/>
      </c>
      <c r="I26" s="49">
        <f t="shared" si="2"/>
      </c>
      <c r="J26" s="43">
        <f t="shared" si="6"/>
      </c>
      <c r="K26" s="32">
        <f t="shared" si="3"/>
      </c>
      <c r="L26" s="32">
        <f t="shared" si="4"/>
      </c>
      <c r="M26" s="38">
        <f t="shared" si="5"/>
      </c>
    </row>
    <row r="27" spans="1:13" ht="12.75">
      <c r="A27" s="25"/>
      <c r="B27" s="33"/>
      <c r="C27" s="9"/>
      <c r="D27" s="9"/>
      <c r="E27" s="9"/>
      <c r="F27" s="9"/>
      <c r="G27" s="1">
        <f t="shared" si="1"/>
        <v>0</v>
      </c>
      <c r="H27" s="45">
        <f t="shared" si="0"/>
      </c>
      <c r="I27" s="49">
        <f t="shared" si="2"/>
      </c>
      <c r="J27" s="43">
        <f t="shared" si="6"/>
      </c>
      <c r="K27" s="32">
        <f t="shared" si="3"/>
      </c>
      <c r="L27" s="32">
        <f t="shared" si="4"/>
      </c>
      <c r="M27" s="38">
        <f t="shared" si="5"/>
      </c>
    </row>
    <row r="28" spans="1:13" ht="12.75">
      <c r="A28" s="25"/>
      <c r="B28" s="33"/>
      <c r="C28" s="9"/>
      <c r="D28" s="9"/>
      <c r="E28" s="9"/>
      <c r="F28" s="9"/>
      <c r="G28" s="1">
        <f t="shared" si="1"/>
        <v>0</v>
      </c>
      <c r="H28" s="45">
        <f t="shared" si="0"/>
      </c>
      <c r="I28" s="49">
        <f t="shared" si="2"/>
      </c>
      <c r="J28" s="43">
        <f t="shared" si="6"/>
      </c>
      <c r="K28" s="32">
        <f t="shared" si="3"/>
      </c>
      <c r="L28" s="32">
        <f t="shared" si="4"/>
      </c>
      <c r="M28" s="38">
        <f t="shared" si="5"/>
      </c>
    </row>
    <row r="29" spans="1:13" ht="12.75">
      <c r="A29" s="25"/>
      <c r="B29" s="33"/>
      <c r="C29" s="9"/>
      <c r="D29" s="9"/>
      <c r="E29" s="9"/>
      <c r="F29" s="9"/>
      <c r="G29" s="1">
        <f t="shared" si="1"/>
        <v>0</v>
      </c>
      <c r="H29" s="45">
        <f t="shared" si="0"/>
      </c>
      <c r="I29" s="49">
        <f t="shared" si="2"/>
      </c>
      <c r="J29" s="43">
        <f t="shared" si="6"/>
      </c>
      <c r="K29" s="32">
        <f t="shared" si="3"/>
      </c>
      <c r="L29" s="32">
        <f t="shared" si="4"/>
      </c>
      <c r="M29" s="38">
        <f t="shared" si="5"/>
      </c>
    </row>
    <row r="30" spans="1:13" ht="13.5" thickBot="1">
      <c r="A30" s="26"/>
      <c r="B30" s="34"/>
      <c r="C30" s="9"/>
      <c r="D30" s="9"/>
      <c r="E30" s="9"/>
      <c r="F30" s="9"/>
      <c r="G30" s="1">
        <f t="shared" si="1"/>
        <v>0</v>
      </c>
      <c r="H30" s="45">
        <f>IF(ISBLANK(A30),"",A30)</f>
      </c>
      <c r="I30" s="49">
        <f t="shared" si="2"/>
      </c>
      <c r="J30" s="43">
        <f t="shared" si="6"/>
      </c>
      <c r="K30" s="32">
        <f t="shared" si="3"/>
      </c>
      <c r="L30" s="32">
        <f>IF(K30="","",ABS(K30))</f>
      </c>
      <c r="M30" s="38">
        <f>IF(K30="","",K30^2)</f>
      </c>
    </row>
    <row r="31" spans="1:13" ht="12.75">
      <c r="A31" s="14"/>
      <c r="B31" s="15"/>
      <c r="C31" s="9"/>
      <c r="D31" s="9"/>
      <c r="E31" s="9"/>
      <c r="F31" s="9"/>
      <c r="G31" s="1">
        <f t="shared" si="1"/>
        <v>0</v>
      </c>
      <c r="H31" s="45"/>
      <c r="I31" s="11"/>
      <c r="J31" s="43">
        <f>IF(ISBLANK(B30),"",IF($B$3=1,B30,IF($B$3=2,AVERAGE(B30:B30),IF($B$3=3,AVERAGE(B30:B30),IF($B$3=4,AVERAGE(B30:B30),"")))))</f>
      </c>
      <c r="K31" s="32"/>
      <c r="L31" s="32"/>
      <c r="M31" s="38"/>
    </row>
    <row r="32" spans="3:13" ht="12.75">
      <c r="C32" s="9"/>
      <c r="D32" s="9"/>
      <c r="E32" s="9"/>
      <c r="F32" s="9"/>
      <c r="H32" s="45"/>
      <c r="I32" s="11"/>
      <c r="J32" s="35" t="s">
        <v>15</v>
      </c>
      <c r="K32" s="32">
        <f>SUM(K7:K30)</f>
        <v>0</v>
      </c>
      <c r="L32" s="32">
        <f>SUM(L7:L30)</f>
        <v>27</v>
      </c>
      <c r="M32" s="38">
        <f>SUM(M7:M30)</f>
        <v>112.5</v>
      </c>
    </row>
    <row r="33" spans="3:13" ht="12.75">
      <c r="C33" s="9"/>
      <c r="D33" s="9"/>
      <c r="E33" s="9"/>
      <c r="F33" s="9"/>
      <c r="H33" s="45"/>
      <c r="I33" s="11"/>
      <c r="J33" s="35" t="s">
        <v>16</v>
      </c>
      <c r="K33" s="32">
        <f>AVERAGE(K7:K30)</f>
        <v>0</v>
      </c>
      <c r="L33" s="32">
        <f>AVERAGE(L7:L30)</f>
        <v>2.7</v>
      </c>
      <c r="M33" s="38">
        <f>AVERAGE(M7:M30)</f>
        <v>11.25</v>
      </c>
    </row>
    <row r="34" spans="3:13" ht="13.5" thickBot="1">
      <c r="C34" s="9"/>
      <c r="D34" s="9"/>
      <c r="E34" s="9"/>
      <c r="F34" s="9"/>
      <c r="H34" s="46"/>
      <c r="I34" s="39"/>
      <c r="J34" s="39"/>
      <c r="K34" s="40" t="s">
        <v>17</v>
      </c>
      <c r="L34" s="40" t="s">
        <v>18</v>
      </c>
      <c r="M34" s="41" t="s">
        <v>19</v>
      </c>
    </row>
    <row r="35" spans="8:13" ht="12.75">
      <c r="H35" s="12"/>
      <c r="I35" s="12"/>
      <c r="J35" s="12"/>
      <c r="K35" s="12"/>
      <c r="L35" s="42" t="s">
        <v>20</v>
      </c>
      <c r="M35" s="28">
        <f>SQRT(M32/(COUNT(M7:M30)-2))</f>
        <v>3.75</v>
      </c>
    </row>
    <row r="36" spans="2:13" ht="12.75">
      <c r="B36" s="15"/>
      <c r="M36" s="1">
        <f>IF(COUNT(M7:M30)-2&lt;1,"Not enough data to compute the standard error","")</f>
      </c>
    </row>
    <row r="41" ht="12.75">
      <c r="B41" s="15"/>
    </row>
    <row r="46" ht="12.75">
      <c r="B46" s="15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B3">
      <formula1>$G$1:$G$4</formula1>
    </dataValidation>
  </dataValidations>
  <printOptions/>
  <pageMargins left="0.25" right="0.25" top="0.5" bottom="0.5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2" width="16.57421875" style="1" customWidth="1"/>
    <col min="3" max="3" width="7.28125" style="1" customWidth="1"/>
    <col min="4" max="4" width="30.28125" style="1" customWidth="1"/>
    <col min="5" max="5" width="28.7109375" style="1" customWidth="1"/>
    <col min="6" max="6" width="2.28125" style="1" customWidth="1"/>
    <col min="7" max="7" width="17.57421875" style="1" customWidth="1"/>
    <col min="8" max="8" width="12.7109375" style="1" customWidth="1"/>
    <col min="9" max="9" width="2.00390625" style="1" hidden="1" customWidth="1"/>
    <col min="10" max="10" width="8.421875" style="1" bestFit="1" customWidth="1"/>
    <col min="11" max="11" width="12.8515625" style="1" customWidth="1"/>
    <col min="12" max="12" width="16.57421875" style="1" bestFit="1" customWidth="1"/>
    <col min="13" max="15" width="17.7109375" style="1" customWidth="1"/>
    <col min="16" max="16384" width="9.140625" style="1" customWidth="1"/>
  </cols>
  <sheetData>
    <row r="1" spans="1:9" ht="18">
      <c r="A1" s="8" t="s">
        <v>32</v>
      </c>
      <c r="B1" s="9"/>
      <c r="C1" s="9"/>
      <c r="D1" s="9"/>
      <c r="G1" s="20" t="s">
        <v>31</v>
      </c>
      <c r="H1" s="69" t="s">
        <v>22</v>
      </c>
      <c r="I1" s="1">
        <v>1</v>
      </c>
    </row>
    <row r="2" spans="1:9" ht="12.75">
      <c r="A2" s="2"/>
      <c r="B2" s="2"/>
      <c r="G2" s="21" t="s">
        <v>29</v>
      </c>
      <c r="H2" s="70"/>
      <c r="I2" s="1">
        <v>2</v>
      </c>
    </row>
    <row r="3" spans="1:9" ht="12.75">
      <c r="A3" s="50" t="s">
        <v>1</v>
      </c>
      <c r="B3" s="3">
        <v>3</v>
      </c>
      <c r="C3" s="19" t="s">
        <v>21</v>
      </c>
      <c r="D3" s="19"/>
      <c r="G3" s="21" t="s">
        <v>28</v>
      </c>
      <c r="H3" s="70">
        <v>1</v>
      </c>
      <c r="I3" s="1">
        <v>3</v>
      </c>
    </row>
    <row r="4" spans="7:9" ht="12.75">
      <c r="G4" s="21" t="s">
        <v>27</v>
      </c>
      <c r="H4" s="70">
        <v>2</v>
      </c>
      <c r="I4" s="1">
        <v>4</v>
      </c>
    </row>
    <row r="5" spans="1:12" ht="13.5" thickBot="1">
      <c r="A5" s="13" t="s">
        <v>2</v>
      </c>
      <c r="G5" s="22" t="s">
        <v>30</v>
      </c>
      <c r="H5" s="71">
        <v>3</v>
      </c>
      <c r="L5" s="10" t="s">
        <v>3</v>
      </c>
    </row>
    <row r="6" spans="1:15" ht="12.75">
      <c r="A6" s="18" t="s">
        <v>4</v>
      </c>
      <c r="B6" s="24" t="s">
        <v>5</v>
      </c>
      <c r="D6" s="4" t="s">
        <v>6</v>
      </c>
      <c r="E6" s="29">
        <f>VLOOKUP(1,I8:L31,4,FALSE)</f>
        <v>19.333333333333332</v>
      </c>
      <c r="J6" s="44" t="s">
        <v>4</v>
      </c>
      <c r="K6" s="36" t="str">
        <f>B6</f>
        <v>Demand</v>
      </c>
      <c r="L6" s="36" t="s">
        <v>7</v>
      </c>
      <c r="M6" s="36" t="s">
        <v>8</v>
      </c>
      <c r="N6" s="36" t="s">
        <v>9</v>
      </c>
      <c r="O6" s="23" t="s">
        <v>10</v>
      </c>
    </row>
    <row r="7" spans="1:15" ht="12.75">
      <c r="A7" s="25" t="s">
        <v>78</v>
      </c>
      <c r="B7" s="33">
        <v>17</v>
      </c>
      <c r="D7" s="5"/>
      <c r="E7" s="30"/>
      <c r="J7" s="45" t="str">
        <f>IF(ISBLANK(A7),"",A7)</f>
        <v>Week 1</v>
      </c>
      <c r="K7" s="76">
        <f>IF(ISBLANK(B7),"",B7)</f>
        <v>17</v>
      </c>
      <c r="L7" s="11"/>
      <c r="M7" s="11"/>
      <c r="N7" s="11"/>
      <c r="O7" s="37"/>
    </row>
    <row r="8" spans="1:15" ht="12.75">
      <c r="A8" s="25" t="s">
        <v>79</v>
      </c>
      <c r="B8" s="33">
        <v>21</v>
      </c>
      <c r="D8" s="6" t="s">
        <v>11</v>
      </c>
      <c r="E8" s="30">
        <f>M33</f>
        <v>0.05555555555555674</v>
      </c>
      <c r="I8" s="1">
        <f aca="true" t="shared" si="0" ref="I8:I31">IF(ISBLANK(B8),IF(L8="",0,1),0)</f>
        <v>0</v>
      </c>
      <c r="J8" s="45" t="str">
        <f aca="true" t="shared" si="1" ref="J8:J29">IF(ISBLANK(A8),"",A8)</f>
        <v>Week 2</v>
      </c>
      <c r="K8" s="76">
        <f aca="true" t="shared" si="2" ref="K8:K30">IF(ISBLANK(B8),"",B8)</f>
        <v>21</v>
      </c>
      <c r="L8" s="32">
        <f>IF(ISBLANK(B7),"",IF($B$3=1,B7,""))</f>
      </c>
      <c r="M8" s="32">
        <f aca="true" t="shared" si="3" ref="M8:M30">IF(ISBLANK(B8),"",IF(L8="","",B8-L8))</f>
      </c>
      <c r="N8" s="32">
        <f aca="true" t="shared" si="4" ref="N8:N29">IF(M8="","",ABS(M8))</f>
      </c>
      <c r="O8" s="38">
        <f aca="true" t="shared" si="5" ref="O8:O29">IF(M8="","",M8^2)</f>
      </c>
    </row>
    <row r="9" spans="1:15" ht="12.75">
      <c r="A9" s="25" t="s">
        <v>80</v>
      </c>
      <c r="B9" s="33">
        <v>19</v>
      </c>
      <c r="D9" s="6" t="s">
        <v>12</v>
      </c>
      <c r="E9" s="30">
        <f>N33</f>
        <v>2.9814814814814814</v>
      </c>
      <c r="I9" s="1">
        <f t="shared" si="0"/>
        <v>0</v>
      </c>
      <c r="J9" s="45" t="str">
        <f t="shared" si="1"/>
        <v>Week 3</v>
      </c>
      <c r="K9" s="76">
        <f t="shared" si="2"/>
        <v>19</v>
      </c>
      <c r="L9" s="32">
        <f>IF(ISBLANK(B8),"",IF($B$3=1,B8,IF($B$3=2,SUMPRODUCT(B7:B8,$H$4:$H$5)/SUM($H$4:$H$5),"")))</f>
      </c>
      <c r="M9" s="32">
        <f t="shared" si="3"/>
      </c>
      <c r="N9" s="32">
        <f t="shared" si="4"/>
      </c>
      <c r="O9" s="38">
        <f t="shared" si="5"/>
      </c>
    </row>
    <row r="10" spans="1:15" ht="12.75">
      <c r="A10" s="25" t="s">
        <v>81</v>
      </c>
      <c r="B10" s="33">
        <v>23</v>
      </c>
      <c r="D10" s="6" t="s">
        <v>13</v>
      </c>
      <c r="E10" s="30">
        <f>O33</f>
        <v>11.49074074074074</v>
      </c>
      <c r="I10" s="1">
        <f t="shared" si="0"/>
        <v>0</v>
      </c>
      <c r="J10" s="45" t="str">
        <f t="shared" si="1"/>
        <v>Week 4</v>
      </c>
      <c r="K10" s="76">
        <f t="shared" si="2"/>
        <v>23</v>
      </c>
      <c r="L10" s="32">
        <f>IF(ISBLANK(B9),"",IF($B$3=1,B9,IF($B$3=2,SUMPRODUCT(B8:B9,$H$4:$H$5)/SUM($H$4:$H$5),IF($B$3=3,SUMPRODUCT(B7:B9,$H$3:$H$5)/SUM($H$3:$H$5),""))))</f>
        <v>19.333333333333332</v>
      </c>
      <c r="M10" s="32">
        <f t="shared" si="3"/>
        <v>3.666666666666668</v>
      </c>
      <c r="N10" s="32">
        <f t="shared" si="4"/>
        <v>3.666666666666668</v>
      </c>
      <c r="O10" s="38">
        <f t="shared" si="5"/>
        <v>13.444444444444454</v>
      </c>
    </row>
    <row r="11" spans="1:15" ht="13.5" thickBot="1">
      <c r="A11" s="25" t="s">
        <v>82</v>
      </c>
      <c r="B11" s="33">
        <v>18</v>
      </c>
      <c r="D11" s="7" t="s">
        <v>14</v>
      </c>
      <c r="E11" s="31">
        <f>O35</f>
        <v>3.843671360016296</v>
      </c>
      <c r="I11" s="1">
        <f t="shared" si="0"/>
        <v>0</v>
      </c>
      <c r="J11" s="45" t="str">
        <f t="shared" si="1"/>
        <v>Week 5</v>
      </c>
      <c r="K11" s="76">
        <f t="shared" si="2"/>
        <v>18</v>
      </c>
      <c r="L11" s="32">
        <f aca="true" t="shared" si="6" ref="L11:L30">IF(ISBLANK(B10),"",IF($B$3=1,B10,IF($B$3=2,SUMPRODUCT(B9:B10,$H$4:$H$5)/SUM($H$4:$H$5),IF($B$3=3,SUMPRODUCT(B8:B10,$H$3:$H$5)/SUM($H$3:$H$5),IF($B$3=4,SUMPRODUCT(B7:B10,$H$2:$H$5)/SUM($H$2:$H$5),"")))))</f>
        <v>21.333333333333332</v>
      </c>
      <c r="M11" s="32">
        <f t="shared" si="3"/>
        <v>-3.333333333333332</v>
      </c>
      <c r="N11" s="32">
        <f t="shared" si="4"/>
        <v>3.333333333333332</v>
      </c>
      <c r="O11" s="38">
        <f t="shared" si="5"/>
        <v>11.111111111111104</v>
      </c>
    </row>
    <row r="12" spans="1:15" ht="12.75">
      <c r="A12" s="25" t="s">
        <v>83</v>
      </c>
      <c r="B12" s="33">
        <v>16</v>
      </c>
      <c r="C12" s="9"/>
      <c r="D12" s="9"/>
      <c r="E12" s="9"/>
      <c r="F12" s="9"/>
      <c r="G12" s="9"/>
      <c r="H12" s="9"/>
      <c r="I12" s="1">
        <f t="shared" si="0"/>
        <v>0</v>
      </c>
      <c r="J12" s="45" t="str">
        <f t="shared" si="1"/>
        <v>Week 6</v>
      </c>
      <c r="K12" s="76">
        <f t="shared" si="2"/>
        <v>16</v>
      </c>
      <c r="L12" s="32">
        <f t="shared" si="6"/>
        <v>19.833333333333332</v>
      </c>
      <c r="M12" s="32">
        <f t="shared" si="3"/>
        <v>-3.833333333333332</v>
      </c>
      <c r="N12" s="32">
        <f t="shared" si="4"/>
        <v>3.833333333333332</v>
      </c>
      <c r="O12" s="38">
        <f t="shared" si="5"/>
        <v>14.694444444444436</v>
      </c>
    </row>
    <row r="13" spans="1:15" ht="12.75">
      <c r="A13" s="25" t="s">
        <v>84</v>
      </c>
      <c r="B13" s="33">
        <v>20</v>
      </c>
      <c r="C13" s="9"/>
      <c r="D13" s="9"/>
      <c r="E13" s="9"/>
      <c r="F13" s="9"/>
      <c r="G13" s="9"/>
      <c r="H13" s="9"/>
      <c r="I13" s="1">
        <f t="shared" si="0"/>
        <v>0</v>
      </c>
      <c r="J13" s="45" t="str">
        <f t="shared" si="1"/>
        <v>Week 7</v>
      </c>
      <c r="K13" s="76">
        <f t="shared" si="2"/>
        <v>20</v>
      </c>
      <c r="L13" s="32">
        <f t="shared" si="6"/>
        <v>17.833333333333332</v>
      </c>
      <c r="M13" s="32">
        <f t="shared" si="3"/>
        <v>2.166666666666668</v>
      </c>
      <c r="N13" s="32">
        <f t="shared" si="4"/>
        <v>2.166666666666668</v>
      </c>
      <c r="O13" s="38">
        <f t="shared" si="5"/>
        <v>4.69444444444445</v>
      </c>
    </row>
    <row r="14" spans="1:15" ht="12.75">
      <c r="A14" s="25" t="s">
        <v>85</v>
      </c>
      <c r="B14" s="33">
        <v>18</v>
      </c>
      <c r="C14" s="9"/>
      <c r="D14" s="9"/>
      <c r="E14" s="9"/>
      <c r="F14" s="9"/>
      <c r="G14" s="9"/>
      <c r="H14" s="9"/>
      <c r="I14" s="1">
        <f t="shared" si="0"/>
        <v>0</v>
      </c>
      <c r="J14" s="45" t="str">
        <f t="shared" si="1"/>
        <v>Week 8</v>
      </c>
      <c r="K14" s="76">
        <f t="shared" si="2"/>
        <v>18</v>
      </c>
      <c r="L14" s="32">
        <f t="shared" si="6"/>
        <v>18.333333333333332</v>
      </c>
      <c r="M14" s="32">
        <f t="shared" si="3"/>
        <v>-0.33333333333333215</v>
      </c>
      <c r="N14" s="32">
        <f t="shared" si="4"/>
        <v>0.33333333333333215</v>
      </c>
      <c r="O14" s="38">
        <f t="shared" si="5"/>
        <v>0.11111111111111033</v>
      </c>
    </row>
    <row r="15" spans="1:15" ht="12.75">
      <c r="A15" s="25" t="s">
        <v>86</v>
      </c>
      <c r="B15" s="33">
        <v>22</v>
      </c>
      <c r="C15" s="9"/>
      <c r="D15" s="9"/>
      <c r="E15" s="9"/>
      <c r="F15" s="9"/>
      <c r="G15" s="9"/>
      <c r="H15" s="9"/>
      <c r="I15" s="1">
        <f t="shared" si="0"/>
        <v>0</v>
      </c>
      <c r="J15" s="45" t="str">
        <f t="shared" si="1"/>
        <v>Week 9</v>
      </c>
      <c r="K15" s="76">
        <f t="shared" si="2"/>
        <v>22</v>
      </c>
      <c r="L15" s="32">
        <f t="shared" si="6"/>
        <v>18.333333333333332</v>
      </c>
      <c r="M15" s="32">
        <f t="shared" si="3"/>
        <v>3.666666666666668</v>
      </c>
      <c r="N15" s="32">
        <f t="shared" si="4"/>
        <v>3.666666666666668</v>
      </c>
      <c r="O15" s="38">
        <f t="shared" si="5"/>
        <v>13.444444444444454</v>
      </c>
    </row>
    <row r="16" spans="1:15" ht="12.75">
      <c r="A16" s="25" t="s">
        <v>87</v>
      </c>
      <c r="B16" s="33">
        <v>20</v>
      </c>
      <c r="C16" s="9"/>
      <c r="D16" s="9"/>
      <c r="E16" s="9"/>
      <c r="F16" s="9"/>
      <c r="G16" s="9"/>
      <c r="H16" s="9"/>
      <c r="I16" s="1">
        <f t="shared" si="0"/>
        <v>0</v>
      </c>
      <c r="J16" s="45" t="str">
        <f t="shared" si="1"/>
        <v>Week 10</v>
      </c>
      <c r="K16" s="76">
        <f t="shared" si="2"/>
        <v>20</v>
      </c>
      <c r="L16" s="32">
        <f t="shared" si="6"/>
        <v>20.333333333333332</v>
      </c>
      <c r="M16" s="32">
        <f t="shared" si="3"/>
        <v>-0.33333333333333215</v>
      </c>
      <c r="N16" s="32">
        <f t="shared" si="4"/>
        <v>0.33333333333333215</v>
      </c>
      <c r="O16" s="38">
        <f t="shared" si="5"/>
        <v>0.11111111111111033</v>
      </c>
    </row>
    <row r="17" spans="1:15" ht="12.75">
      <c r="A17" s="25" t="s">
        <v>88</v>
      </c>
      <c r="B17" s="33">
        <v>15</v>
      </c>
      <c r="C17" s="9"/>
      <c r="D17" s="9"/>
      <c r="E17" s="9"/>
      <c r="F17" s="9"/>
      <c r="G17" s="9"/>
      <c r="H17" s="9"/>
      <c r="I17" s="1">
        <f t="shared" si="0"/>
        <v>0</v>
      </c>
      <c r="J17" s="45" t="str">
        <f t="shared" si="1"/>
        <v>Week 11</v>
      </c>
      <c r="K17" s="76">
        <f t="shared" si="2"/>
        <v>15</v>
      </c>
      <c r="L17" s="32">
        <f t="shared" si="6"/>
        <v>20.333333333333332</v>
      </c>
      <c r="M17" s="32">
        <f t="shared" si="3"/>
        <v>-5.333333333333332</v>
      </c>
      <c r="N17" s="32">
        <f t="shared" si="4"/>
        <v>5.333333333333332</v>
      </c>
      <c r="O17" s="38">
        <f t="shared" si="5"/>
        <v>28.444444444444432</v>
      </c>
    </row>
    <row r="18" spans="1:15" ht="12.75">
      <c r="A18" s="25" t="s">
        <v>89</v>
      </c>
      <c r="B18" s="33">
        <v>22</v>
      </c>
      <c r="C18" s="9"/>
      <c r="D18" s="9"/>
      <c r="E18" s="9"/>
      <c r="F18" s="9"/>
      <c r="G18" s="9"/>
      <c r="H18" s="9"/>
      <c r="I18" s="1">
        <f t="shared" si="0"/>
        <v>0</v>
      </c>
      <c r="J18" s="45" t="str">
        <f t="shared" si="1"/>
        <v>Week 12</v>
      </c>
      <c r="K18" s="76">
        <f t="shared" si="2"/>
        <v>22</v>
      </c>
      <c r="L18" s="32">
        <f t="shared" si="6"/>
        <v>17.833333333333332</v>
      </c>
      <c r="M18" s="32">
        <f t="shared" si="3"/>
        <v>4.166666666666668</v>
      </c>
      <c r="N18" s="32">
        <f t="shared" si="4"/>
        <v>4.166666666666668</v>
      </c>
      <c r="O18" s="38">
        <f t="shared" si="5"/>
        <v>17.36111111111112</v>
      </c>
    </row>
    <row r="19" spans="1:15" ht="12.75">
      <c r="A19" s="25"/>
      <c r="B19" s="33"/>
      <c r="C19" s="9"/>
      <c r="D19" s="9"/>
      <c r="E19" s="9"/>
      <c r="F19" s="9"/>
      <c r="G19" s="9"/>
      <c r="H19" s="9"/>
      <c r="I19" s="1">
        <f t="shared" si="0"/>
        <v>1</v>
      </c>
      <c r="J19" s="45">
        <f t="shared" si="1"/>
      </c>
      <c r="K19" s="76">
        <f t="shared" si="2"/>
      </c>
      <c r="L19" s="32">
        <f t="shared" si="6"/>
        <v>19.333333333333332</v>
      </c>
      <c r="M19" s="32">
        <f t="shared" si="3"/>
      </c>
      <c r="N19" s="32">
        <f t="shared" si="4"/>
      </c>
      <c r="O19" s="38">
        <f t="shared" si="5"/>
      </c>
    </row>
    <row r="20" spans="1:15" ht="12.75">
      <c r="A20" s="25"/>
      <c r="B20" s="33"/>
      <c r="C20" s="9"/>
      <c r="D20" s="9"/>
      <c r="E20" s="9"/>
      <c r="F20" s="9"/>
      <c r="G20" s="9"/>
      <c r="H20" s="9"/>
      <c r="I20" s="1">
        <f t="shared" si="0"/>
        <v>0</v>
      </c>
      <c r="J20" s="45">
        <f t="shared" si="1"/>
      </c>
      <c r="K20" s="76">
        <f t="shared" si="2"/>
      </c>
      <c r="L20" s="32">
        <f t="shared" si="6"/>
      </c>
      <c r="M20" s="32">
        <f t="shared" si="3"/>
      </c>
      <c r="N20" s="32">
        <f t="shared" si="4"/>
      </c>
      <c r="O20" s="38">
        <f t="shared" si="5"/>
      </c>
    </row>
    <row r="21" spans="1:15" ht="12.75">
      <c r="A21" s="25"/>
      <c r="B21" s="33"/>
      <c r="C21" s="9"/>
      <c r="D21" s="9"/>
      <c r="E21" s="9"/>
      <c r="F21" s="9"/>
      <c r="G21" s="9"/>
      <c r="H21" s="9"/>
      <c r="I21" s="1">
        <f t="shared" si="0"/>
        <v>0</v>
      </c>
      <c r="J21" s="45">
        <f t="shared" si="1"/>
      </c>
      <c r="K21" s="76">
        <f t="shared" si="2"/>
      </c>
      <c r="L21" s="32">
        <f t="shared" si="6"/>
      </c>
      <c r="M21" s="32">
        <f t="shared" si="3"/>
      </c>
      <c r="N21" s="32">
        <f t="shared" si="4"/>
      </c>
      <c r="O21" s="38">
        <f t="shared" si="5"/>
      </c>
    </row>
    <row r="22" spans="1:15" ht="12.75">
      <c r="A22" s="25"/>
      <c r="B22" s="33"/>
      <c r="C22" s="9"/>
      <c r="D22" s="9"/>
      <c r="E22" s="9"/>
      <c r="F22" s="9"/>
      <c r="G22" s="9"/>
      <c r="H22" s="9"/>
      <c r="I22" s="1">
        <f t="shared" si="0"/>
        <v>0</v>
      </c>
      <c r="J22" s="45">
        <f t="shared" si="1"/>
      </c>
      <c r="K22" s="76">
        <f t="shared" si="2"/>
      </c>
      <c r="L22" s="32">
        <f t="shared" si="6"/>
      </c>
      <c r="M22" s="32">
        <f t="shared" si="3"/>
      </c>
      <c r="N22" s="32">
        <f t="shared" si="4"/>
      </c>
      <c r="O22" s="38">
        <f t="shared" si="5"/>
      </c>
    </row>
    <row r="23" spans="1:15" ht="12.75">
      <c r="A23" s="25"/>
      <c r="B23" s="33"/>
      <c r="C23" s="9"/>
      <c r="D23" s="9"/>
      <c r="E23" s="9"/>
      <c r="F23" s="9"/>
      <c r="G23" s="9"/>
      <c r="H23" s="9"/>
      <c r="I23" s="1">
        <f t="shared" si="0"/>
        <v>0</v>
      </c>
      <c r="J23" s="45">
        <f t="shared" si="1"/>
      </c>
      <c r="K23" s="76">
        <f t="shared" si="2"/>
      </c>
      <c r="L23" s="32">
        <f t="shared" si="6"/>
      </c>
      <c r="M23" s="32">
        <f t="shared" si="3"/>
      </c>
      <c r="N23" s="32">
        <f t="shared" si="4"/>
      </c>
      <c r="O23" s="38">
        <f t="shared" si="5"/>
      </c>
    </row>
    <row r="24" spans="1:15" ht="12.75">
      <c r="A24" s="25"/>
      <c r="B24" s="33"/>
      <c r="C24" s="9"/>
      <c r="D24" s="9"/>
      <c r="E24" s="9"/>
      <c r="F24" s="9"/>
      <c r="G24" s="9"/>
      <c r="H24" s="9"/>
      <c r="I24" s="1">
        <f t="shared" si="0"/>
        <v>0</v>
      </c>
      <c r="J24" s="45">
        <f t="shared" si="1"/>
      </c>
      <c r="K24" s="76">
        <f t="shared" si="2"/>
      </c>
      <c r="L24" s="32">
        <f t="shared" si="6"/>
      </c>
      <c r="M24" s="32">
        <f t="shared" si="3"/>
      </c>
      <c r="N24" s="32">
        <f t="shared" si="4"/>
      </c>
      <c r="O24" s="38">
        <f t="shared" si="5"/>
      </c>
    </row>
    <row r="25" spans="1:15" ht="12.75">
      <c r="A25" s="25"/>
      <c r="B25" s="33"/>
      <c r="C25" s="9"/>
      <c r="D25" s="9"/>
      <c r="E25" s="9"/>
      <c r="F25" s="9"/>
      <c r="G25" s="9"/>
      <c r="H25" s="9"/>
      <c r="I25" s="1">
        <f t="shared" si="0"/>
        <v>0</v>
      </c>
      <c r="J25" s="45">
        <f t="shared" si="1"/>
      </c>
      <c r="K25" s="76">
        <f t="shared" si="2"/>
      </c>
      <c r="L25" s="32">
        <f t="shared" si="6"/>
      </c>
      <c r="M25" s="32">
        <f t="shared" si="3"/>
      </c>
      <c r="N25" s="32">
        <f t="shared" si="4"/>
      </c>
      <c r="O25" s="38">
        <f t="shared" si="5"/>
      </c>
    </row>
    <row r="26" spans="1:15" ht="12.75">
      <c r="A26" s="25"/>
      <c r="B26" s="33"/>
      <c r="C26" s="9"/>
      <c r="D26" s="9"/>
      <c r="E26" s="9"/>
      <c r="F26" s="9"/>
      <c r="G26" s="9"/>
      <c r="H26" s="9"/>
      <c r="I26" s="1">
        <f t="shared" si="0"/>
        <v>0</v>
      </c>
      <c r="J26" s="45">
        <f t="shared" si="1"/>
      </c>
      <c r="K26" s="76">
        <f t="shared" si="2"/>
      </c>
      <c r="L26" s="32">
        <f t="shared" si="6"/>
      </c>
      <c r="M26" s="32">
        <f t="shared" si="3"/>
      </c>
      <c r="N26" s="32">
        <f t="shared" si="4"/>
      </c>
      <c r="O26" s="38">
        <f t="shared" si="5"/>
      </c>
    </row>
    <row r="27" spans="1:15" ht="12.75">
      <c r="A27" s="25"/>
      <c r="B27" s="33"/>
      <c r="C27" s="9"/>
      <c r="D27" s="9"/>
      <c r="E27" s="9"/>
      <c r="F27" s="9"/>
      <c r="G27" s="9"/>
      <c r="H27" s="9"/>
      <c r="I27" s="1">
        <f t="shared" si="0"/>
        <v>0</v>
      </c>
      <c r="J27" s="45">
        <f t="shared" si="1"/>
      </c>
      <c r="K27" s="76">
        <f t="shared" si="2"/>
      </c>
      <c r="L27" s="32">
        <f t="shared" si="6"/>
      </c>
      <c r="M27" s="32">
        <f t="shared" si="3"/>
      </c>
      <c r="N27" s="32">
        <f t="shared" si="4"/>
      </c>
      <c r="O27" s="38">
        <f t="shared" si="5"/>
      </c>
    </row>
    <row r="28" spans="1:15" ht="12.75">
      <c r="A28" s="25"/>
      <c r="B28" s="33"/>
      <c r="C28" s="9"/>
      <c r="D28" s="9"/>
      <c r="E28" s="9"/>
      <c r="F28" s="9"/>
      <c r="G28" s="9"/>
      <c r="H28" s="9"/>
      <c r="I28" s="1">
        <f t="shared" si="0"/>
        <v>0</v>
      </c>
      <c r="J28" s="45">
        <f t="shared" si="1"/>
      </c>
      <c r="K28" s="76">
        <f t="shared" si="2"/>
      </c>
      <c r="L28" s="32">
        <f t="shared" si="6"/>
      </c>
      <c r="M28" s="32">
        <f t="shared" si="3"/>
      </c>
      <c r="N28" s="32">
        <f t="shared" si="4"/>
      </c>
      <c r="O28" s="38">
        <f t="shared" si="5"/>
      </c>
    </row>
    <row r="29" spans="1:15" ht="12.75">
      <c r="A29" s="25"/>
      <c r="B29" s="33"/>
      <c r="C29" s="9"/>
      <c r="D29" s="9"/>
      <c r="E29" s="9"/>
      <c r="F29" s="9"/>
      <c r="G29" s="9"/>
      <c r="H29" s="9"/>
      <c r="I29" s="1">
        <f t="shared" si="0"/>
        <v>0</v>
      </c>
      <c r="J29" s="45">
        <f t="shared" si="1"/>
      </c>
      <c r="K29" s="76">
        <f t="shared" si="2"/>
      </c>
      <c r="L29" s="32">
        <f t="shared" si="6"/>
      </c>
      <c r="M29" s="32">
        <f t="shared" si="3"/>
      </c>
      <c r="N29" s="32">
        <f t="shared" si="4"/>
      </c>
      <c r="O29" s="38">
        <f t="shared" si="5"/>
      </c>
    </row>
    <row r="30" spans="1:15" ht="13.5" thickBot="1">
      <c r="A30" s="26"/>
      <c r="B30" s="34"/>
      <c r="C30" s="9"/>
      <c r="D30" s="9"/>
      <c r="E30" s="9"/>
      <c r="F30" s="9"/>
      <c r="G30" s="9"/>
      <c r="H30" s="9"/>
      <c r="I30" s="1">
        <f t="shared" si="0"/>
        <v>0</v>
      </c>
      <c r="J30" s="45">
        <f>IF(ISBLANK(A30),"",A30)</f>
      </c>
      <c r="K30" s="76">
        <f t="shared" si="2"/>
      </c>
      <c r="L30" s="32">
        <f t="shared" si="6"/>
      </c>
      <c r="M30" s="32">
        <f t="shared" si="3"/>
      </c>
      <c r="N30" s="32">
        <f>IF(M30="","",ABS(M30))</f>
      </c>
      <c r="O30" s="38">
        <f>IF(M30="","",M30^2)</f>
      </c>
    </row>
    <row r="31" spans="1:15" ht="12.75">
      <c r="A31" s="16"/>
      <c r="B31" s="14"/>
      <c r="C31" s="9"/>
      <c r="D31" s="9"/>
      <c r="E31" s="9"/>
      <c r="F31" s="9"/>
      <c r="G31" s="9"/>
      <c r="H31" s="9"/>
      <c r="I31" s="1">
        <f t="shared" si="0"/>
        <v>0</v>
      </c>
      <c r="J31" s="45"/>
      <c r="K31" s="11"/>
      <c r="L31" s="17">
        <f>IF(ISBLANK(B30),"",IF($B$3=1,B30,IF($B$3=2,SUMPRODUCT(B30:B30,$H$4:$H$5)/SUM($H$4:$H$5),IF($B$3=3,SUMPRODUCT(B30:B30,$H$3:$H$5)/SUM($H$3:$H$5),IF($B$3=4,SUMPRODUCT(B30:B30,$H$2:$H$5)/SUM($H$2:$H$5),"")))))</f>
      </c>
      <c r="M31" s="11"/>
      <c r="N31" s="11"/>
      <c r="O31" s="37"/>
    </row>
    <row r="32" spans="3:15" ht="12.75">
      <c r="C32" s="9"/>
      <c r="D32" s="9"/>
      <c r="E32" s="9"/>
      <c r="F32" s="9"/>
      <c r="G32" s="9"/>
      <c r="H32" s="9"/>
      <c r="J32" s="45"/>
      <c r="K32" s="11"/>
      <c r="L32" s="35" t="s">
        <v>15</v>
      </c>
      <c r="M32" s="11">
        <f>SUM(M7:M30)</f>
        <v>0.5000000000000107</v>
      </c>
      <c r="N32" s="11">
        <f>SUM(N7:N30)</f>
        <v>26.833333333333332</v>
      </c>
      <c r="O32" s="37">
        <f>SUM(O7:O30)</f>
        <v>103.41666666666666</v>
      </c>
    </row>
    <row r="33" spans="3:15" ht="12.75">
      <c r="C33" s="9"/>
      <c r="D33" s="9"/>
      <c r="E33" s="9"/>
      <c r="F33" s="9"/>
      <c r="G33" s="9"/>
      <c r="H33" s="9"/>
      <c r="J33" s="45"/>
      <c r="K33" s="11"/>
      <c r="L33" s="35" t="s">
        <v>16</v>
      </c>
      <c r="M33" s="11">
        <f>AVERAGE(M7:M30)</f>
        <v>0.05555555555555674</v>
      </c>
      <c r="N33" s="11">
        <f>AVERAGE(N7:N30)</f>
        <v>2.9814814814814814</v>
      </c>
      <c r="O33" s="37">
        <f>AVERAGE(O7:O30)</f>
        <v>11.49074074074074</v>
      </c>
    </row>
    <row r="34" spans="3:15" ht="13.5" thickBot="1">
      <c r="C34" s="9"/>
      <c r="D34" s="9"/>
      <c r="E34" s="9"/>
      <c r="F34" s="9"/>
      <c r="G34" s="9"/>
      <c r="H34" s="9"/>
      <c r="J34" s="46"/>
      <c r="K34" s="39"/>
      <c r="L34" s="39"/>
      <c r="M34" s="40" t="s">
        <v>17</v>
      </c>
      <c r="N34" s="40" t="s">
        <v>18</v>
      </c>
      <c r="O34" s="41" t="s">
        <v>19</v>
      </c>
    </row>
    <row r="35" spans="10:15" ht="12.75">
      <c r="J35" s="12"/>
      <c r="K35" s="12"/>
      <c r="L35" s="12"/>
      <c r="M35" s="12"/>
      <c r="N35" s="42" t="s">
        <v>20</v>
      </c>
      <c r="O35" s="12">
        <f>SQRT(O32/(COUNT(O7:O30)-2))</f>
        <v>3.843671360016296</v>
      </c>
    </row>
    <row r="36" ht="12.75">
      <c r="O36" s="1">
        <f>IF(COUNT(O7:O30)-2&lt;1,"Not enough data to compute the standard error","")</f>
      </c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B3">
      <formula1>$I$1:$I$4</formula1>
    </dataValidation>
  </dataValidations>
  <printOptions/>
  <pageMargins left="0.25" right="0.25" top="0.5" bottom="0.5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2" width="16.57421875" style="1" bestFit="1" customWidth="1"/>
    <col min="3" max="3" width="7.28125" style="1" customWidth="1"/>
    <col min="4" max="4" width="30.28125" style="1" customWidth="1"/>
    <col min="5" max="5" width="28.7109375" style="1" bestFit="1" customWidth="1"/>
    <col min="6" max="6" width="31.7109375" style="1" customWidth="1"/>
    <col min="7" max="7" width="2.00390625" style="1" hidden="1" customWidth="1"/>
    <col min="8" max="8" width="8.421875" style="1" bestFit="1" customWidth="1"/>
    <col min="9" max="9" width="12.57421875" style="1" customWidth="1"/>
    <col min="10" max="10" width="13.421875" style="1" bestFit="1" customWidth="1"/>
    <col min="11" max="12" width="15.00390625" style="1" customWidth="1"/>
    <col min="13" max="13" width="17.7109375" style="1" bestFit="1" customWidth="1"/>
    <col min="14" max="15" width="9.140625" style="1" customWidth="1"/>
    <col min="16" max="16" width="4.57421875" style="1" hidden="1" customWidth="1"/>
    <col min="17" max="16384" width="9.140625" style="1" customWidth="1"/>
  </cols>
  <sheetData>
    <row r="1" spans="1:16" ht="18">
      <c r="A1" s="8" t="s">
        <v>34</v>
      </c>
      <c r="B1" s="9"/>
      <c r="C1" s="9"/>
      <c r="D1" s="9"/>
      <c r="P1" s="27">
        <v>0</v>
      </c>
    </row>
    <row r="2" spans="1:16" ht="12.75">
      <c r="A2" s="47"/>
      <c r="B2" s="2"/>
      <c r="P2" s="27">
        <v>0.01</v>
      </c>
    </row>
    <row r="3" spans="1:16" ht="12.75">
      <c r="A3" s="51" t="s">
        <v>33</v>
      </c>
      <c r="B3" s="3">
        <v>0.2</v>
      </c>
      <c r="C3" s="19" t="s">
        <v>35</v>
      </c>
      <c r="D3" s="19"/>
      <c r="P3" s="27">
        <v>0.02</v>
      </c>
    </row>
    <row r="4" ht="12.75">
      <c r="P4" s="27">
        <v>0.03</v>
      </c>
    </row>
    <row r="5" spans="1:16" ht="13.5" thickBot="1">
      <c r="A5" s="13" t="s">
        <v>2</v>
      </c>
      <c r="J5" s="10" t="s">
        <v>3</v>
      </c>
      <c r="P5" s="27">
        <v>0.04</v>
      </c>
    </row>
    <row r="6" spans="1:16" ht="12.75">
      <c r="A6" s="18" t="s">
        <v>4</v>
      </c>
      <c r="B6" s="24" t="s">
        <v>5</v>
      </c>
      <c r="D6" s="4" t="s">
        <v>6</v>
      </c>
      <c r="E6" s="29">
        <f>VLOOKUP(1,G8:J31,4,FALSE)</f>
        <v>19.184955269120003</v>
      </c>
      <c r="H6" s="44" t="s">
        <v>4</v>
      </c>
      <c r="I6" s="36" t="str">
        <f>B6</f>
        <v>Demand</v>
      </c>
      <c r="J6" s="36" t="s">
        <v>7</v>
      </c>
      <c r="K6" s="36" t="s">
        <v>8</v>
      </c>
      <c r="L6" s="36" t="s">
        <v>9</v>
      </c>
      <c r="M6" s="23" t="s">
        <v>10</v>
      </c>
      <c r="P6" s="27">
        <v>0.05</v>
      </c>
    </row>
    <row r="7" spans="1:16" ht="12.75">
      <c r="A7" s="25" t="s">
        <v>78</v>
      </c>
      <c r="B7" s="33">
        <v>17</v>
      </c>
      <c r="D7" s="5"/>
      <c r="E7" s="30"/>
      <c r="H7" s="45" t="str">
        <f aca="true" t="shared" si="0" ref="H7:H29">IF(ISBLANK(A7),"",A7)</f>
        <v>Week 1</v>
      </c>
      <c r="I7" s="49">
        <f aca="true" t="shared" si="1" ref="I7:I30">IF(ISBLANK(B7),"",B7)</f>
        <v>17</v>
      </c>
      <c r="J7" s="11"/>
      <c r="K7" s="11"/>
      <c r="L7" s="11"/>
      <c r="M7" s="37"/>
      <c r="P7" s="27">
        <v>0.06</v>
      </c>
    </row>
    <row r="8" spans="1:16" ht="12.75">
      <c r="A8" s="25" t="s">
        <v>79</v>
      </c>
      <c r="B8" s="33">
        <v>21</v>
      </c>
      <c r="D8" s="6" t="s">
        <v>11</v>
      </c>
      <c r="E8" s="30">
        <f>K33</f>
        <v>0.9931614859636355</v>
      </c>
      <c r="G8" s="1">
        <f aca="true" t="shared" si="2" ref="G8:G29">IF(ISBLANK(B8),IF(J8="",0,1),0)</f>
        <v>0</v>
      </c>
      <c r="H8" s="45" t="str">
        <f t="shared" si="0"/>
        <v>Week 2</v>
      </c>
      <c r="I8" s="49">
        <f t="shared" si="1"/>
        <v>21</v>
      </c>
      <c r="J8" s="43">
        <f>IF(ISBLANK(B7),"",B7)</f>
        <v>17</v>
      </c>
      <c r="K8" s="32">
        <f aca="true" t="shared" si="3" ref="K8:K29">IF(ISBLANK(B8),"",IF(J8="","",B8-J8))</f>
        <v>4</v>
      </c>
      <c r="L8" s="32">
        <f aca="true" t="shared" si="4" ref="L8:L29">IF(K8="","",ABS(K8))</f>
        <v>4</v>
      </c>
      <c r="M8" s="38">
        <f aca="true" t="shared" si="5" ref="M8:M29">IF(K8="","",K8^2)</f>
        <v>16</v>
      </c>
      <c r="P8" s="27">
        <v>0.07</v>
      </c>
    </row>
    <row r="9" spans="1:16" ht="12.75">
      <c r="A9" s="25" t="s">
        <v>80</v>
      </c>
      <c r="B9" s="33">
        <v>19</v>
      </c>
      <c r="D9" s="6" t="s">
        <v>12</v>
      </c>
      <c r="E9" s="30">
        <f>L33</f>
        <v>2.5963390510545454</v>
      </c>
      <c r="G9" s="1">
        <f t="shared" si="2"/>
        <v>0</v>
      </c>
      <c r="H9" s="45" t="str">
        <f t="shared" si="0"/>
        <v>Week 3</v>
      </c>
      <c r="I9" s="49">
        <f t="shared" si="1"/>
        <v>19</v>
      </c>
      <c r="J9" s="43">
        <f>IF(ISBLANK(B8),"",J8+$B$3*(B8-J8))</f>
        <v>17.8</v>
      </c>
      <c r="K9" s="32">
        <f t="shared" si="3"/>
        <v>1.1999999999999993</v>
      </c>
      <c r="L9" s="32">
        <f t="shared" si="4"/>
        <v>1.1999999999999993</v>
      </c>
      <c r="M9" s="38">
        <f t="shared" si="5"/>
        <v>1.4399999999999984</v>
      </c>
      <c r="P9" s="27">
        <v>0.08</v>
      </c>
    </row>
    <row r="10" spans="1:16" ht="12.75">
      <c r="A10" s="25" t="s">
        <v>81</v>
      </c>
      <c r="B10" s="33">
        <v>23</v>
      </c>
      <c r="D10" s="6" t="s">
        <v>13</v>
      </c>
      <c r="E10" s="30">
        <f>M33</f>
        <v>8.982230675137561</v>
      </c>
      <c r="G10" s="1">
        <f t="shared" si="2"/>
        <v>0</v>
      </c>
      <c r="H10" s="45" t="str">
        <f t="shared" si="0"/>
        <v>Week 4</v>
      </c>
      <c r="I10" s="49">
        <f t="shared" si="1"/>
        <v>23</v>
      </c>
      <c r="J10" s="43">
        <f aca="true" t="shared" si="6" ref="J10:J30">IF(ISBLANK(B9),"",J9+$B$3*(B9-J9))</f>
        <v>18.04</v>
      </c>
      <c r="K10" s="32">
        <f t="shared" si="3"/>
        <v>4.960000000000001</v>
      </c>
      <c r="L10" s="32">
        <f t="shared" si="4"/>
        <v>4.960000000000001</v>
      </c>
      <c r="M10" s="38">
        <f t="shared" si="5"/>
        <v>24.60160000000001</v>
      </c>
      <c r="P10" s="27">
        <v>0.09</v>
      </c>
    </row>
    <row r="11" spans="1:16" ht="13.5" thickBot="1">
      <c r="A11" s="25" t="s">
        <v>82</v>
      </c>
      <c r="B11" s="33">
        <v>18</v>
      </c>
      <c r="D11" s="7" t="s">
        <v>14</v>
      </c>
      <c r="E11" s="31">
        <f>M35</f>
        <v>3.313349051379773</v>
      </c>
      <c r="G11" s="1">
        <f t="shared" si="2"/>
        <v>0</v>
      </c>
      <c r="H11" s="45" t="str">
        <f t="shared" si="0"/>
        <v>Week 5</v>
      </c>
      <c r="I11" s="49">
        <f t="shared" si="1"/>
        <v>18</v>
      </c>
      <c r="J11" s="43">
        <f t="shared" si="6"/>
        <v>19.032</v>
      </c>
      <c r="K11" s="32">
        <f t="shared" si="3"/>
        <v>-1.032</v>
      </c>
      <c r="L11" s="32">
        <f t="shared" si="4"/>
        <v>1.032</v>
      </c>
      <c r="M11" s="38">
        <f t="shared" si="5"/>
        <v>1.065024</v>
      </c>
      <c r="P11" s="27">
        <v>0.1</v>
      </c>
    </row>
    <row r="12" spans="1:16" ht="12.75">
      <c r="A12" s="25" t="s">
        <v>83</v>
      </c>
      <c r="B12" s="33">
        <v>16</v>
      </c>
      <c r="C12" s="9"/>
      <c r="D12" s="9"/>
      <c r="E12" s="9"/>
      <c r="F12" s="9"/>
      <c r="G12" s="1">
        <f t="shared" si="2"/>
        <v>0</v>
      </c>
      <c r="H12" s="45" t="str">
        <f t="shared" si="0"/>
        <v>Week 6</v>
      </c>
      <c r="I12" s="49">
        <f t="shared" si="1"/>
        <v>16</v>
      </c>
      <c r="J12" s="43">
        <f t="shared" si="6"/>
        <v>18.8256</v>
      </c>
      <c r="K12" s="32">
        <f t="shared" si="3"/>
        <v>-2.8256000000000014</v>
      </c>
      <c r="L12" s="32">
        <f t="shared" si="4"/>
        <v>2.8256000000000014</v>
      </c>
      <c r="M12" s="38">
        <f t="shared" si="5"/>
        <v>7.984015360000008</v>
      </c>
      <c r="P12" s="27">
        <v>0.11</v>
      </c>
    </row>
    <row r="13" spans="1:16" ht="12.75">
      <c r="A13" s="25" t="s">
        <v>84</v>
      </c>
      <c r="B13" s="33">
        <v>20</v>
      </c>
      <c r="C13" s="9"/>
      <c r="D13" s="9"/>
      <c r="E13" s="9"/>
      <c r="F13" s="9"/>
      <c r="G13" s="1">
        <f t="shared" si="2"/>
        <v>0</v>
      </c>
      <c r="H13" s="45" t="str">
        <f t="shared" si="0"/>
        <v>Week 7</v>
      </c>
      <c r="I13" s="49">
        <f t="shared" si="1"/>
        <v>20</v>
      </c>
      <c r="J13" s="43">
        <f t="shared" si="6"/>
        <v>18.26048</v>
      </c>
      <c r="K13" s="32">
        <f t="shared" si="3"/>
        <v>1.7395199999999988</v>
      </c>
      <c r="L13" s="32">
        <f t="shared" si="4"/>
        <v>1.7395199999999988</v>
      </c>
      <c r="M13" s="38">
        <f t="shared" si="5"/>
        <v>3.025929830399996</v>
      </c>
      <c r="P13" s="27">
        <v>0.12</v>
      </c>
    </row>
    <row r="14" spans="1:16" ht="12.75">
      <c r="A14" s="25" t="s">
        <v>85</v>
      </c>
      <c r="B14" s="33">
        <v>18</v>
      </c>
      <c r="C14" s="9"/>
      <c r="D14" s="9"/>
      <c r="E14" s="9"/>
      <c r="F14" s="9"/>
      <c r="G14" s="1">
        <f t="shared" si="2"/>
        <v>0</v>
      </c>
      <c r="H14" s="45" t="str">
        <f t="shared" si="0"/>
        <v>Week 8</v>
      </c>
      <c r="I14" s="49">
        <f t="shared" si="1"/>
        <v>18</v>
      </c>
      <c r="J14" s="43">
        <f t="shared" si="6"/>
        <v>18.608384</v>
      </c>
      <c r="K14" s="32">
        <f t="shared" si="3"/>
        <v>-0.6083840000000009</v>
      </c>
      <c r="L14" s="32">
        <f t="shared" si="4"/>
        <v>0.6083840000000009</v>
      </c>
      <c r="M14" s="38">
        <f t="shared" si="5"/>
        <v>0.37013109145600115</v>
      </c>
      <c r="P14" s="27">
        <v>0.13</v>
      </c>
    </row>
    <row r="15" spans="1:16" ht="12.75">
      <c r="A15" s="25" t="s">
        <v>86</v>
      </c>
      <c r="B15" s="33">
        <v>22</v>
      </c>
      <c r="C15" s="9"/>
      <c r="D15" s="9"/>
      <c r="E15" s="9"/>
      <c r="F15" s="9"/>
      <c r="G15" s="1">
        <f t="shared" si="2"/>
        <v>0</v>
      </c>
      <c r="H15" s="45" t="str">
        <f t="shared" si="0"/>
        <v>Week 9</v>
      </c>
      <c r="I15" s="49">
        <f t="shared" si="1"/>
        <v>22</v>
      </c>
      <c r="J15" s="43">
        <f t="shared" si="6"/>
        <v>18.4867072</v>
      </c>
      <c r="K15" s="32">
        <f t="shared" si="3"/>
        <v>3.5132927999999986</v>
      </c>
      <c r="L15" s="32">
        <f t="shared" si="4"/>
        <v>3.5132927999999986</v>
      </c>
      <c r="M15" s="38">
        <f t="shared" si="5"/>
        <v>12.34322629853183</v>
      </c>
      <c r="P15" s="27">
        <v>0.14</v>
      </c>
    </row>
    <row r="16" spans="1:16" ht="12.75">
      <c r="A16" s="25" t="s">
        <v>87</v>
      </c>
      <c r="B16" s="33">
        <v>20</v>
      </c>
      <c r="C16" s="9"/>
      <c r="D16" s="9"/>
      <c r="E16" s="9"/>
      <c r="F16" s="9"/>
      <c r="G16" s="1">
        <f t="shared" si="2"/>
        <v>0</v>
      </c>
      <c r="H16" s="45" t="str">
        <f t="shared" si="0"/>
        <v>Week 10</v>
      </c>
      <c r="I16" s="49">
        <f t="shared" si="1"/>
        <v>20</v>
      </c>
      <c r="J16" s="43">
        <f t="shared" si="6"/>
        <v>19.18936576</v>
      </c>
      <c r="K16" s="32">
        <f t="shared" si="3"/>
        <v>0.8106342399999988</v>
      </c>
      <c r="L16" s="32">
        <f t="shared" si="4"/>
        <v>0.8106342399999988</v>
      </c>
      <c r="M16" s="38">
        <f t="shared" si="5"/>
        <v>0.6571278710603757</v>
      </c>
      <c r="P16" s="27">
        <v>0.15</v>
      </c>
    </row>
    <row r="17" spans="1:16" ht="12.75">
      <c r="A17" s="25" t="s">
        <v>88</v>
      </c>
      <c r="B17" s="33">
        <v>15</v>
      </c>
      <c r="C17" s="9"/>
      <c r="D17" s="9"/>
      <c r="E17" s="9"/>
      <c r="F17" s="9"/>
      <c r="G17" s="1">
        <f t="shared" si="2"/>
        <v>0</v>
      </c>
      <c r="H17" s="45" t="str">
        <f t="shared" si="0"/>
        <v>Week 11</v>
      </c>
      <c r="I17" s="49">
        <f t="shared" si="1"/>
        <v>15</v>
      </c>
      <c r="J17" s="43">
        <f t="shared" si="6"/>
        <v>19.351492608</v>
      </c>
      <c r="K17" s="32">
        <f t="shared" si="3"/>
        <v>-4.351492608000001</v>
      </c>
      <c r="L17" s="32">
        <f t="shared" si="4"/>
        <v>4.351492608000001</v>
      </c>
      <c r="M17" s="38">
        <f t="shared" si="5"/>
        <v>18.93548791747865</v>
      </c>
      <c r="P17" s="27">
        <v>0.16</v>
      </c>
    </row>
    <row r="18" spans="1:16" ht="12.75">
      <c r="A18" s="25" t="s">
        <v>89</v>
      </c>
      <c r="B18" s="33">
        <v>22</v>
      </c>
      <c r="C18" s="9"/>
      <c r="D18" s="9"/>
      <c r="E18" s="9"/>
      <c r="F18" s="9"/>
      <c r="G18" s="1">
        <f t="shared" si="2"/>
        <v>0</v>
      </c>
      <c r="H18" s="45" t="str">
        <f t="shared" si="0"/>
        <v>Week 12</v>
      </c>
      <c r="I18" s="49">
        <f t="shared" si="1"/>
        <v>22</v>
      </c>
      <c r="J18" s="43">
        <f t="shared" si="6"/>
        <v>18.481194086400002</v>
      </c>
      <c r="K18" s="32">
        <f t="shared" si="3"/>
        <v>3.518805913599998</v>
      </c>
      <c r="L18" s="32">
        <f t="shared" si="4"/>
        <v>3.518805913599998</v>
      </c>
      <c r="M18" s="38">
        <f t="shared" si="5"/>
        <v>12.381995057586316</v>
      </c>
      <c r="P18" s="27">
        <v>0.17</v>
      </c>
    </row>
    <row r="19" spans="1:16" ht="12.75">
      <c r="A19" s="25"/>
      <c r="B19" s="33"/>
      <c r="C19" s="9"/>
      <c r="D19" s="9"/>
      <c r="E19" s="9"/>
      <c r="F19" s="9"/>
      <c r="G19" s="1">
        <f t="shared" si="2"/>
        <v>1</v>
      </c>
      <c r="H19" s="45">
        <f t="shared" si="0"/>
      </c>
      <c r="I19" s="49">
        <f t="shared" si="1"/>
      </c>
      <c r="J19" s="43">
        <f t="shared" si="6"/>
        <v>19.184955269120003</v>
      </c>
      <c r="K19" s="32">
        <f t="shared" si="3"/>
      </c>
      <c r="L19" s="32">
        <f t="shared" si="4"/>
      </c>
      <c r="M19" s="38">
        <f t="shared" si="5"/>
      </c>
      <c r="P19" s="27">
        <v>0.18</v>
      </c>
    </row>
    <row r="20" spans="1:16" ht="12.75">
      <c r="A20" s="25"/>
      <c r="B20" s="33"/>
      <c r="C20" s="9"/>
      <c r="D20" s="9"/>
      <c r="E20" s="9"/>
      <c r="F20" s="9"/>
      <c r="G20" s="1">
        <f t="shared" si="2"/>
        <v>0</v>
      </c>
      <c r="H20" s="45">
        <f t="shared" si="0"/>
      </c>
      <c r="I20" s="49">
        <f t="shared" si="1"/>
      </c>
      <c r="J20" s="43">
        <f t="shared" si="6"/>
      </c>
      <c r="K20" s="32">
        <f t="shared" si="3"/>
      </c>
      <c r="L20" s="32">
        <f t="shared" si="4"/>
      </c>
      <c r="M20" s="38">
        <f t="shared" si="5"/>
      </c>
      <c r="P20" s="27">
        <v>0.19</v>
      </c>
    </row>
    <row r="21" spans="1:16" ht="12.75">
      <c r="A21" s="25"/>
      <c r="B21" s="33"/>
      <c r="C21" s="9"/>
      <c r="D21" s="9"/>
      <c r="E21" s="9"/>
      <c r="F21" s="9"/>
      <c r="G21" s="1">
        <f t="shared" si="2"/>
        <v>0</v>
      </c>
      <c r="H21" s="45">
        <f t="shared" si="0"/>
      </c>
      <c r="I21" s="49">
        <f t="shared" si="1"/>
      </c>
      <c r="J21" s="43">
        <f t="shared" si="6"/>
      </c>
      <c r="K21" s="32">
        <f t="shared" si="3"/>
      </c>
      <c r="L21" s="32">
        <f t="shared" si="4"/>
      </c>
      <c r="M21" s="38">
        <f t="shared" si="5"/>
      </c>
      <c r="P21" s="27">
        <v>0.2</v>
      </c>
    </row>
    <row r="22" spans="1:16" ht="12.75">
      <c r="A22" s="25"/>
      <c r="B22" s="33"/>
      <c r="C22" s="9"/>
      <c r="D22" s="9"/>
      <c r="E22" s="9"/>
      <c r="F22" s="9"/>
      <c r="G22" s="1">
        <f t="shared" si="2"/>
        <v>0</v>
      </c>
      <c r="H22" s="45">
        <f t="shared" si="0"/>
      </c>
      <c r="I22" s="49">
        <f t="shared" si="1"/>
      </c>
      <c r="J22" s="43">
        <f t="shared" si="6"/>
      </c>
      <c r="K22" s="32">
        <f t="shared" si="3"/>
      </c>
      <c r="L22" s="32">
        <f t="shared" si="4"/>
      </c>
      <c r="M22" s="38">
        <f t="shared" si="5"/>
      </c>
      <c r="P22" s="27">
        <v>0.21</v>
      </c>
    </row>
    <row r="23" spans="1:16" ht="12.75">
      <c r="A23" s="25"/>
      <c r="B23" s="33"/>
      <c r="C23" s="9"/>
      <c r="D23" s="9"/>
      <c r="E23" s="9"/>
      <c r="F23" s="9"/>
      <c r="G23" s="1">
        <f t="shared" si="2"/>
        <v>0</v>
      </c>
      <c r="H23" s="45">
        <f t="shared" si="0"/>
      </c>
      <c r="I23" s="49">
        <f t="shared" si="1"/>
      </c>
      <c r="J23" s="43">
        <f t="shared" si="6"/>
      </c>
      <c r="K23" s="32">
        <f t="shared" si="3"/>
      </c>
      <c r="L23" s="32">
        <f t="shared" si="4"/>
      </c>
      <c r="M23" s="38">
        <f t="shared" si="5"/>
      </c>
      <c r="P23" s="27">
        <v>0.22</v>
      </c>
    </row>
    <row r="24" spans="1:16" ht="12.75">
      <c r="A24" s="25"/>
      <c r="B24" s="33"/>
      <c r="C24" s="9"/>
      <c r="D24" s="9"/>
      <c r="E24" s="9"/>
      <c r="F24" s="9"/>
      <c r="G24" s="1">
        <f t="shared" si="2"/>
        <v>0</v>
      </c>
      <c r="H24" s="45">
        <f t="shared" si="0"/>
      </c>
      <c r="I24" s="49">
        <f t="shared" si="1"/>
      </c>
      <c r="J24" s="43">
        <f t="shared" si="6"/>
      </c>
      <c r="K24" s="32">
        <f t="shared" si="3"/>
      </c>
      <c r="L24" s="32">
        <f t="shared" si="4"/>
      </c>
      <c r="M24" s="38">
        <f t="shared" si="5"/>
      </c>
      <c r="P24" s="27">
        <v>0.23</v>
      </c>
    </row>
    <row r="25" spans="1:16" ht="12.75">
      <c r="A25" s="25"/>
      <c r="B25" s="33"/>
      <c r="C25" s="9"/>
      <c r="D25" s="9"/>
      <c r="E25" s="9"/>
      <c r="F25" s="9"/>
      <c r="G25" s="1">
        <f t="shared" si="2"/>
        <v>0</v>
      </c>
      <c r="H25" s="45">
        <f t="shared" si="0"/>
      </c>
      <c r="I25" s="49">
        <f t="shared" si="1"/>
      </c>
      <c r="J25" s="43">
        <f t="shared" si="6"/>
      </c>
      <c r="K25" s="32">
        <f t="shared" si="3"/>
      </c>
      <c r="L25" s="32">
        <f t="shared" si="4"/>
      </c>
      <c r="M25" s="38">
        <f t="shared" si="5"/>
      </c>
      <c r="P25" s="27">
        <v>0.24</v>
      </c>
    </row>
    <row r="26" spans="1:16" ht="12.75">
      <c r="A26" s="25"/>
      <c r="B26" s="33"/>
      <c r="C26" s="9"/>
      <c r="D26" s="9"/>
      <c r="E26" s="9"/>
      <c r="F26" s="9"/>
      <c r="G26" s="1">
        <f t="shared" si="2"/>
        <v>0</v>
      </c>
      <c r="H26" s="45">
        <f t="shared" si="0"/>
      </c>
      <c r="I26" s="49">
        <f t="shared" si="1"/>
      </c>
      <c r="J26" s="43">
        <f t="shared" si="6"/>
      </c>
      <c r="K26" s="32">
        <f t="shared" si="3"/>
      </c>
      <c r="L26" s="32">
        <f t="shared" si="4"/>
      </c>
      <c r="M26" s="38">
        <f t="shared" si="5"/>
      </c>
      <c r="P26" s="27">
        <v>0.25</v>
      </c>
    </row>
    <row r="27" spans="1:16" ht="12.75">
      <c r="A27" s="25"/>
      <c r="B27" s="33"/>
      <c r="C27" s="9"/>
      <c r="D27" s="9"/>
      <c r="E27" s="9"/>
      <c r="F27" s="9"/>
      <c r="G27" s="1">
        <f t="shared" si="2"/>
        <v>0</v>
      </c>
      <c r="H27" s="45">
        <f t="shared" si="0"/>
      </c>
      <c r="I27" s="49">
        <f t="shared" si="1"/>
      </c>
      <c r="J27" s="43">
        <f t="shared" si="6"/>
      </c>
      <c r="K27" s="32">
        <f t="shared" si="3"/>
      </c>
      <c r="L27" s="32">
        <f t="shared" si="4"/>
      </c>
      <c r="M27" s="38">
        <f t="shared" si="5"/>
      </c>
      <c r="P27" s="27">
        <v>0.26</v>
      </c>
    </row>
    <row r="28" spans="1:16" ht="12.75">
      <c r="A28" s="25"/>
      <c r="B28" s="33"/>
      <c r="C28" s="9"/>
      <c r="D28" s="9"/>
      <c r="E28" s="9"/>
      <c r="F28" s="9"/>
      <c r="G28" s="1">
        <f t="shared" si="2"/>
        <v>0</v>
      </c>
      <c r="H28" s="45">
        <f t="shared" si="0"/>
      </c>
      <c r="I28" s="49">
        <f t="shared" si="1"/>
      </c>
      <c r="J28" s="43">
        <f t="shared" si="6"/>
      </c>
      <c r="K28" s="32">
        <f t="shared" si="3"/>
      </c>
      <c r="L28" s="32">
        <f t="shared" si="4"/>
      </c>
      <c r="M28" s="38">
        <f t="shared" si="5"/>
      </c>
      <c r="P28" s="27">
        <v>0.27</v>
      </c>
    </row>
    <row r="29" spans="1:16" ht="12.75">
      <c r="A29" s="25"/>
      <c r="B29" s="33"/>
      <c r="C29" s="9"/>
      <c r="D29" s="9"/>
      <c r="E29" s="9"/>
      <c r="F29" s="9"/>
      <c r="G29" s="1">
        <f t="shared" si="2"/>
        <v>0</v>
      </c>
      <c r="H29" s="45">
        <f t="shared" si="0"/>
      </c>
      <c r="I29" s="49">
        <f t="shared" si="1"/>
      </c>
      <c r="J29" s="43">
        <f t="shared" si="6"/>
      </c>
      <c r="K29" s="32">
        <f t="shared" si="3"/>
      </c>
      <c r="L29" s="32">
        <f t="shared" si="4"/>
      </c>
      <c r="M29" s="38">
        <f t="shared" si="5"/>
      </c>
      <c r="P29" s="27">
        <v>0.28</v>
      </c>
    </row>
    <row r="30" spans="1:16" ht="13.5" thickBot="1">
      <c r="A30" s="26"/>
      <c r="B30" s="34"/>
      <c r="C30" s="9"/>
      <c r="D30" s="9"/>
      <c r="E30" s="9"/>
      <c r="F30" s="9"/>
      <c r="G30" s="1">
        <f>IF(ISBLANK(B30),IF(J30="",0,1),0)</f>
        <v>0</v>
      </c>
      <c r="H30" s="45">
        <f>IF(ISBLANK(A30),"",A30)</f>
      </c>
      <c r="I30" s="49">
        <f t="shared" si="1"/>
      </c>
      <c r="J30" s="43">
        <f t="shared" si="6"/>
      </c>
      <c r="K30" s="32">
        <f>IF(ISBLANK(B30),"",IF(J30="","",B30-J30))</f>
      </c>
      <c r="L30" s="32">
        <f>IF(K30="","",ABS(K30))</f>
      </c>
      <c r="M30" s="38">
        <f>IF(K30="","",K30^2)</f>
      </c>
      <c r="P30" s="27">
        <v>0.29</v>
      </c>
    </row>
    <row r="31" spans="1:16" ht="12.75">
      <c r="A31" s="14"/>
      <c r="B31" s="15"/>
      <c r="C31" s="9"/>
      <c r="D31" s="9"/>
      <c r="E31" s="9"/>
      <c r="F31" s="9"/>
      <c r="G31" s="1">
        <f>IF(ISBLANK(B31),IF(J31="",0,1),0)</f>
        <v>0</v>
      </c>
      <c r="H31" s="45"/>
      <c r="I31" s="43"/>
      <c r="J31" s="43">
        <f>IF(ISBLANK(B30),"",J30+$B$3*(B30-J30))</f>
      </c>
      <c r="K31" s="32"/>
      <c r="L31" s="32"/>
      <c r="M31" s="38"/>
      <c r="P31" s="27">
        <v>0.3</v>
      </c>
    </row>
    <row r="32" spans="3:16" ht="12.75">
      <c r="C32" s="9"/>
      <c r="D32" s="9"/>
      <c r="E32" s="9"/>
      <c r="F32" s="9"/>
      <c r="H32" s="45"/>
      <c r="I32" s="43"/>
      <c r="J32" s="35" t="s">
        <v>15</v>
      </c>
      <c r="K32" s="32">
        <f>SUM(K7:K30)</f>
        <v>10.924776345599991</v>
      </c>
      <c r="L32" s="32">
        <f>SUM(L7:L30)</f>
        <v>28.559729561599998</v>
      </c>
      <c r="M32" s="38">
        <f>SUM(M7:M30)</f>
        <v>98.80453742651318</v>
      </c>
      <c r="P32" s="27">
        <v>0.31</v>
      </c>
    </row>
    <row r="33" spans="3:16" ht="12.75">
      <c r="C33" s="9"/>
      <c r="D33" s="9"/>
      <c r="E33" s="9"/>
      <c r="F33" s="9"/>
      <c r="H33" s="45"/>
      <c r="I33" s="43"/>
      <c r="J33" s="35" t="s">
        <v>16</v>
      </c>
      <c r="K33" s="32">
        <f>AVERAGE(K7:K30)</f>
        <v>0.9931614859636355</v>
      </c>
      <c r="L33" s="32">
        <f>AVERAGE(L7:L30)</f>
        <v>2.5963390510545454</v>
      </c>
      <c r="M33" s="38">
        <f>AVERAGE(M7:M30)</f>
        <v>8.982230675137561</v>
      </c>
      <c r="P33" s="27">
        <v>0.32</v>
      </c>
    </row>
    <row r="34" spans="3:16" ht="13.5" thickBot="1">
      <c r="C34" s="9"/>
      <c r="D34" s="9"/>
      <c r="E34" s="9"/>
      <c r="F34" s="9"/>
      <c r="H34" s="46"/>
      <c r="I34" s="39"/>
      <c r="J34" s="39"/>
      <c r="K34" s="40" t="s">
        <v>17</v>
      </c>
      <c r="L34" s="40" t="s">
        <v>18</v>
      </c>
      <c r="M34" s="41" t="s">
        <v>19</v>
      </c>
      <c r="P34" s="27">
        <v>0.33</v>
      </c>
    </row>
    <row r="35" spans="8:16" ht="12.75">
      <c r="H35" s="12"/>
      <c r="I35" s="43"/>
      <c r="J35" s="12"/>
      <c r="K35" s="12"/>
      <c r="L35" s="42" t="s">
        <v>20</v>
      </c>
      <c r="M35" s="28">
        <f>SQRT(M32/(COUNT(M7:M30)-2))</f>
        <v>3.313349051379773</v>
      </c>
      <c r="P35" s="27">
        <v>0.34</v>
      </c>
    </row>
    <row r="36" spans="13:16" ht="12.75">
      <c r="M36" s="1">
        <f>IF(COUNT(M7:M30)-2&lt;1,"Not enough data to compute the standard error","")</f>
      </c>
      <c r="P36" s="27">
        <v>0.35</v>
      </c>
    </row>
    <row r="37" ht="12.75">
      <c r="P37" s="27">
        <v>0.36</v>
      </c>
    </row>
    <row r="38" ht="12.75">
      <c r="P38" s="27">
        <v>0.37</v>
      </c>
    </row>
    <row r="39" ht="12.75">
      <c r="P39" s="27">
        <v>0.38</v>
      </c>
    </row>
    <row r="40" ht="12.75">
      <c r="P40" s="27">
        <v>0.39</v>
      </c>
    </row>
    <row r="41" ht="12.75">
      <c r="P41" s="27">
        <v>0.4</v>
      </c>
    </row>
    <row r="42" ht="12.75">
      <c r="P42" s="27">
        <v>0.41</v>
      </c>
    </row>
    <row r="43" ht="12.75">
      <c r="P43" s="27">
        <v>0.42</v>
      </c>
    </row>
    <row r="44" ht="12.75">
      <c r="P44" s="27">
        <v>0.43</v>
      </c>
    </row>
    <row r="45" ht="12.75">
      <c r="P45" s="27">
        <v>0.44</v>
      </c>
    </row>
    <row r="46" ht="12.75">
      <c r="P46" s="27">
        <v>0.45</v>
      </c>
    </row>
    <row r="47" ht="12.75">
      <c r="P47" s="27">
        <v>0.46</v>
      </c>
    </row>
    <row r="48" ht="12.75">
      <c r="P48" s="27">
        <v>0.47</v>
      </c>
    </row>
    <row r="49" ht="12.75">
      <c r="P49" s="27">
        <v>0.48</v>
      </c>
    </row>
    <row r="50" ht="12.75">
      <c r="P50" s="27">
        <v>0.49</v>
      </c>
    </row>
    <row r="51" ht="12.75">
      <c r="P51" s="27">
        <v>0.499999999999999</v>
      </c>
    </row>
    <row r="52" ht="12.75">
      <c r="P52" s="27">
        <v>0.509999999999999</v>
      </c>
    </row>
    <row r="53" ht="12.75">
      <c r="P53" s="27">
        <v>0.519999999999999</v>
      </c>
    </row>
    <row r="54" ht="12.75">
      <c r="P54" s="27">
        <v>0.529999999999999</v>
      </c>
    </row>
    <row r="55" ht="12.75">
      <c r="P55" s="27">
        <v>0.539999999999999</v>
      </c>
    </row>
    <row r="56" ht="12.75">
      <c r="P56" s="27">
        <v>0.549999999999999</v>
      </c>
    </row>
    <row r="57" ht="12.75">
      <c r="P57" s="27">
        <v>0.559999999999999</v>
      </c>
    </row>
    <row r="58" ht="12.75">
      <c r="P58" s="27">
        <v>0.569999999999999</v>
      </c>
    </row>
    <row r="59" ht="12.75">
      <c r="P59" s="27">
        <v>0.579999999999999</v>
      </c>
    </row>
    <row r="60" ht="12.75">
      <c r="P60" s="27">
        <v>0.589999999999999</v>
      </c>
    </row>
    <row r="61" ht="12.75">
      <c r="P61" s="27">
        <v>0.599999999999999</v>
      </c>
    </row>
    <row r="62" ht="12.75">
      <c r="P62" s="27">
        <v>0.609999999999999</v>
      </c>
    </row>
    <row r="63" ht="12.75">
      <c r="P63" s="27">
        <v>0.619999999999999</v>
      </c>
    </row>
    <row r="64" ht="12.75">
      <c r="P64" s="27">
        <v>0.629999999999999</v>
      </c>
    </row>
    <row r="65" ht="12.75">
      <c r="P65" s="27">
        <v>0.639999999999999</v>
      </c>
    </row>
    <row r="66" ht="12.75">
      <c r="P66" s="27">
        <v>0.649999999999999</v>
      </c>
    </row>
    <row r="67" ht="12.75">
      <c r="P67" s="27">
        <v>0.659999999999999</v>
      </c>
    </row>
    <row r="68" ht="12.75">
      <c r="P68" s="27">
        <v>0.669999999999999</v>
      </c>
    </row>
    <row r="69" ht="12.75">
      <c r="P69" s="27">
        <v>0.679999999999999</v>
      </c>
    </row>
    <row r="70" ht="12.75">
      <c r="P70" s="27">
        <v>0.689999999999999</v>
      </c>
    </row>
    <row r="71" ht="12.75">
      <c r="P71" s="27">
        <v>0.699999999999999</v>
      </c>
    </row>
    <row r="72" ht="12.75">
      <c r="P72" s="27">
        <v>0.709999999999999</v>
      </c>
    </row>
    <row r="73" ht="12.75">
      <c r="P73" s="27">
        <v>0.719999999999999</v>
      </c>
    </row>
    <row r="74" ht="12.75">
      <c r="P74" s="27">
        <v>0.729999999999999</v>
      </c>
    </row>
    <row r="75" ht="12.75">
      <c r="P75" s="27">
        <v>0.739999999999999</v>
      </c>
    </row>
    <row r="76" ht="12.75">
      <c r="P76" s="27">
        <v>0.749999999999999</v>
      </c>
    </row>
    <row r="77" ht="12.75">
      <c r="P77" s="27">
        <v>0.759999999999999</v>
      </c>
    </row>
    <row r="78" ht="12.75">
      <c r="P78" s="27">
        <v>0.769999999999999</v>
      </c>
    </row>
    <row r="79" ht="12.75">
      <c r="P79" s="27">
        <v>0.779999999999999</v>
      </c>
    </row>
    <row r="80" ht="12.75">
      <c r="P80" s="27">
        <v>0.789999999999999</v>
      </c>
    </row>
    <row r="81" ht="12.75">
      <c r="P81" s="27">
        <v>0.799999999999999</v>
      </c>
    </row>
    <row r="82" ht="12.75">
      <c r="P82" s="27">
        <v>0.809999999999999</v>
      </c>
    </row>
    <row r="83" ht="12.75">
      <c r="P83" s="27">
        <v>0.819999999999999</v>
      </c>
    </row>
    <row r="84" ht="12.75">
      <c r="P84" s="27">
        <v>0.829999999999999</v>
      </c>
    </row>
    <row r="85" ht="12.75">
      <c r="P85" s="27">
        <v>0.839999999999999</v>
      </c>
    </row>
    <row r="86" ht="12.75">
      <c r="P86" s="27">
        <v>0.849999999999999</v>
      </c>
    </row>
    <row r="87" ht="12.75">
      <c r="P87" s="27">
        <v>0.859999999999999</v>
      </c>
    </row>
    <row r="88" ht="12.75">
      <c r="P88" s="27">
        <v>0.869999999999999</v>
      </c>
    </row>
    <row r="89" ht="12.75">
      <c r="P89" s="27">
        <v>0.879999999999999</v>
      </c>
    </row>
    <row r="90" ht="12.75">
      <c r="P90" s="27">
        <v>0.889999999999999</v>
      </c>
    </row>
    <row r="91" ht="12.75">
      <c r="P91" s="27">
        <v>0.899999999999999</v>
      </c>
    </row>
    <row r="92" ht="12.75">
      <c r="P92" s="27">
        <v>0.909999999999999</v>
      </c>
    </row>
    <row r="93" ht="12.75">
      <c r="P93" s="27">
        <v>0.919999999999999</v>
      </c>
    </row>
    <row r="94" ht="12.75">
      <c r="P94" s="27">
        <v>0.929999999999999</v>
      </c>
    </row>
    <row r="95" ht="12.75">
      <c r="P95" s="27">
        <v>0.939999999999999</v>
      </c>
    </row>
    <row r="96" ht="12.75">
      <c r="P96" s="27">
        <v>0.949999999999999</v>
      </c>
    </row>
    <row r="97" ht="12.75">
      <c r="P97" s="27">
        <v>0.959999999999999</v>
      </c>
    </row>
    <row r="98" ht="12.75">
      <c r="P98" s="27">
        <v>0.969999999999999</v>
      </c>
    </row>
    <row r="99" ht="12.75">
      <c r="P99" s="27">
        <v>0.979999999999999</v>
      </c>
    </row>
    <row r="100" ht="12.75">
      <c r="P100" s="27">
        <v>0.989999999999999</v>
      </c>
    </row>
    <row r="101" ht="12.75">
      <c r="P101" s="27">
        <v>0.999999999999999</v>
      </c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B3">
      <formula1>$P$1:$P$101</formula1>
    </dataValidation>
  </dataValidations>
  <printOptions/>
  <pageMargins left="0.25" right="0.25" top="0.5" bottom="0.5" header="0" footer="0"/>
  <pageSetup horizontalDpi="300" verticalDpi="3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3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0.7109375" style="1" customWidth="1"/>
    <col min="2" max="2" width="16.57421875" style="1" bestFit="1" customWidth="1"/>
    <col min="3" max="3" width="7.28125" style="1" customWidth="1"/>
    <col min="4" max="4" width="30.28125" style="1" customWidth="1"/>
    <col min="5" max="5" width="28.7109375" style="1" bestFit="1" customWidth="1"/>
    <col min="6" max="6" width="31.7109375" style="1" customWidth="1"/>
    <col min="7" max="7" width="2.00390625" style="1" hidden="1" customWidth="1"/>
    <col min="8" max="8" width="7.421875" style="1" bestFit="1" customWidth="1"/>
    <col min="9" max="10" width="6.8515625" style="1" hidden="1" customWidth="1"/>
    <col min="11" max="11" width="8.57421875" style="1" bestFit="1" customWidth="1"/>
    <col min="12" max="12" width="13.421875" style="1" bestFit="1" customWidth="1"/>
    <col min="13" max="14" width="15.00390625" style="1" customWidth="1"/>
    <col min="15" max="15" width="17.7109375" style="1" bestFit="1" customWidth="1"/>
    <col min="16" max="16384" width="9.140625" style="1" customWidth="1"/>
  </cols>
  <sheetData>
    <row r="1" spans="1:7" ht="18.75" thickBot="1">
      <c r="A1" s="8" t="s">
        <v>61</v>
      </c>
      <c r="B1" s="9"/>
      <c r="C1" s="9"/>
      <c r="D1" s="9"/>
      <c r="G1" s="1">
        <v>1</v>
      </c>
    </row>
    <row r="2" spans="4:7" ht="12.75">
      <c r="D2" s="4" t="s">
        <v>6</v>
      </c>
      <c r="E2" s="29">
        <f>VLOOKUP(1,G6:L29,6,FALSE)</f>
        <v>32.50000000000002</v>
      </c>
      <c r="G2" s="1">
        <v>4</v>
      </c>
    </row>
    <row r="3" spans="1:12" ht="13.5" thickBot="1">
      <c r="A3" s="13" t="s">
        <v>2</v>
      </c>
      <c r="D3" s="5"/>
      <c r="E3" s="30"/>
      <c r="L3" s="10" t="s">
        <v>3</v>
      </c>
    </row>
    <row r="4" spans="1:15" ht="12.75">
      <c r="A4" s="18" t="s">
        <v>4</v>
      </c>
      <c r="B4" s="24" t="s">
        <v>5</v>
      </c>
      <c r="D4" s="6" t="s">
        <v>11</v>
      </c>
      <c r="E4" s="30">
        <f>M31</f>
        <v>-1.0302869668521452E-14</v>
      </c>
      <c r="H4" s="44" t="s">
        <v>4</v>
      </c>
      <c r="I4" s="48" t="s">
        <v>58</v>
      </c>
      <c r="J4" s="48" t="s">
        <v>58</v>
      </c>
      <c r="K4" s="48" t="str">
        <f>B4</f>
        <v>Demand</v>
      </c>
      <c r="L4" s="36" t="s">
        <v>7</v>
      </c>
      <c r="M4" s="36" t="s">
        <v>8</v>
      </c>
      <c r="N4" s="36" t="s">
        <v>9</v>
      </c>
      <c r="O4" s="23" t="s">
        <v>10</v>
      </c>
    </row>
    <row r="5" spans="1:15" ht="12.75">
      <c r="A5" s="25" t="s">
        <v>90</v>
      </c>
      <c r="B5" s="33">
        <v>21.6</v>
      </c>
      <c r="D5" s="6" t="s">
        <v>12</v>
      </c>
      <c r="E5" s="30">
        <f>N31</f>
        <v>1.3200000000000014</v>
      </c>
      <c r="H5" s="45" t="str">
        <f aca="true" t="shared" si="0" ref="H5:H27">IF(ISBLANK(A5),"",A5)</f>
        <v>Year 1</v>
      </c>
      <c r="I5" s="77">
        <f>IF(ISBLANK(B5),"",1)</f>
        <v>1</v>
      </c>
      <c r="J5" s="77">
        <v>1</v>
      </c>
      <c r="K5" s="76">
        <f>IF(ISBLANK(B5),"",B5)</f>
        <v>21.6</v>
      </c>
      <c r="L5" s="11">
        <f aca="true" t="shared" si="1" ref="L5:L29">$E$13+J5*$E$12</f>
        <v>21.5</v>
      </c>
      <c r="M5" s="32">
        <f aca="true" t="shared" si="2" ref="M5:M28">IF(ISBLANK(B5),"",IF(L5="","",B5-L5))</f>
        <v>0.10000000000000142</v>
      </c>
      <c r="N5" s="32">
        <f aca="true" t="shared" si="3" ref="N5:N27">IF(M5="","",ABS(M5))</f>
        <v>0.10000000000000142</v>
      </c>
      <c r="O5" s="38">
        <f>IF(M5="","",M5^2)</f>
        <v>0.010000000000000285</v>
      </c>
    </row>
    <row r="6" spans="1:15" ht="12.75">
      <c r="A6" s="25" t="s">
        <v>91</v>
      </c>
      <c r="B6" s="33">
        <v>22.9</v>
      </c>
      <c r="D6" s="6" t="s">
        <v>13</v>
      </c>
      <c r="E6" s="30">
        <f>O31</f>
        <v>3.070000000000003</v>
      </c>
      <c r="G6" s="1">
        <f aca="true" t="shared" si="4" ref="G6:G29">IF(ISBLANK(B6),IF(L6="",0,1),0)</f>
        <v>0</v>
      </c>
      <c r="H6" s="45" t="str">
        <f t="shared" si="0"/>
        <v>Year 2</v>
      </c>
      <c r="I6" s="77">
        <f>IF(ISBLANK(B6),"",I5+1)</f>
        <v>2</v>
      </c>
      <c r="J6" s="77">
        <v>2</v>
      </c>
      <c r="K6" s="76">
        <f aca="true" t="shared" si="5" ref="K6:K28">IF(ISBLANK(B6),"",B6)</f>
        <v>22.9</v>
      </c>
      <c r="L6" s="11">
        <f t="shared" si="1"/>
        <v>22.6</v>
      </c>
      <c r="M6" s="32">
        <f t="shared" si="2"/>
        <v>0.29999999999999716</v>
      </c>
      <c r="N6" s="32">
        <f t="shared" si="3"/>
        <v>0.29999999999999716</v>
      </c>
      <c r="O6" s="38">
        <f aca="true" t="shared" si="6" ref="O6:O27">IF(M6="","",M6^2)</f>
        <v>0.08999999999999829</v>
      </c>
    </row>
    <row r="7" spans="1:15" ht="13.5" thickBot="1">
      <c r="A7" s="25" t="s">
        <v>92</v>
      </c>
      <c r="B7" s="33">
        <v>25.5</v>
      </c>
      <c r="D7" s="7" t="s">
        <v>14</v>
      </c>
      <c r="E7" s="31">
        <f>O33</f>
        <v>1.9589538024159743</v>
      </c>
      <c r="G7" s="1">
        <f t="shared" si="4"/>
        <v>0</v>
      </c>
      <c r="H7" s="45" t="str">
        <f t="shared" si="0"/>
        <v>Year 3</v>
      </c>
      <c r="I7" s="77">
        <f aca="true" t="shared" si="7" ref="I7:I28">IF(ISBLANK(B7),"",I6+1)</f>
        <v>3</v>
      </c>
      <c r="J7" s="77">
        <v>3</v>
      </c>
      <c r="K7" s="76">
        <f t="shared" si="5"/>
        <v>25.5</v>
      </c>
      <c r="L7" s="11">
        <f t="shared" si="1"/>
        <v>23.700000000000003</v>
      </c>
      <c r="M7" s="32">
        <f t="shared" si="2"/>
        <v>1.7999999999999972</v>
      </c>
      <c r="N7" s="32">
        <f t="shared" si="3"/>
        <v>1.7999999999999972</v>
      </c>
      <c r="O7" s="38">
        <f t="shared" si="6"/>
        <v>3.2399999999999896</v>
      </c>
    </row>
    <row r="8" spans="1:15" ht="12.75">
      <c r="A8" s="25" t="s">
        <v>93</v>
      </c>
      <c r="B8" s="33">
        <v>21.9</v>
      </c>
      <c r="G8" s="1">
        <f t="shared" si="4"/>
        <v>0</v>
      </c>
      <c r="H8" s="45" t="str">
        <f t="shared" si="0"/>
        <v>Year 4</v>
      </c>
      <c r="I8" s="77">
        <f t="shared" si="7"/>
        <v>4</v>
      </c>
      <c r="J8" s="77">
        <v>4</v>
      </c>
      <c r="K8" s="76">
        <f t="shared" si="5"/>
        <v>21.9</v>
      </c>
      <c r="L8" s="11">
        <f t="shared" si="1"/>
        <v>24.800000000000008</v>
      </c>
      <c r="M8" s="32">
        <f t="shared" si="2"/>
        <v>-2.9000000000000092</v>
      </c>
      <c r="N8" s="32">
        <f t="shared" si="3"/>
        <v>2.9000000000000092</v>
      </c>
      <c r="O8" s="38">
        <f t="shared" si="6"/>
        <v>8.410000000000053</v>
      </c>
    </row>
    <row r="9" spans="1:15" ht="13.5" thickBot="1">
      <c r="A9" s="25" t="s">
        <v>94</v>
      </c>
      <c r="B9" s="33">
        <v>23.9</v>
      </c>
      <c r="D9" s="67" t="s">
        <v>116</v>
      </c>
      <c r="G9" s="1">
        <f t="shared" si="4"/>
        <v>0</v>
      </c>
      <c r="H9" s="45" t="str">
        <f t="shared" si="0"/>
        <v>Year 5</v>
      </c>
      <c r="I9" s="77">
        <f t="shared" si="7"/>
        <v>5</v>
      </c>
      <c r="J9" s="77">
        <v>5</v>
      </c>
      <c r="K9" s="76">
        <f t="shared" si="5"/>
        <v>23.9</v>
      </c>
      <c r="L9" s="11">
        <f t="shared" si="1"/>
        <v>25.90000000000001</v>
      </c>
      <c r="M9" s="32">
        <f t="shared" si="2"/>
        <v>-2.0000000000000107</v>
      </c>
      <c r="N9" s="32">
        <f t="shared" si="3"/>
        <v>2.0000000000000107</v>
      </c>
      <c r="O9" s="38">
        <f t="shared" si="6"/>
        <v>4.000000000000043</v>
      </c>
    </row>
    <row r="10" spans="1:15" ht="12.75">
      <c r="A10" s="25" t="s">
        <v>95</v>
      </c>
      <c r="B10" s="33">
        <v>27.5</v>
      </c>
      <c r="D10" s="53" t="s">
        <v>59</v>
      </c>
      <c r="E10" s="54">
        <f>CORREL(B5:B28,J5:J28)</f>
        <v>0.8745261666118811</v>
      </c>
      <c r="G10" s="1">
        <f t="shared" si="4"/>
        <v>0</v>
      </c>
      <c r="H10" s="45" t="str">
        <f t="shared" si="0"/>
        <v>Year 6</v>
      </c>
      <c r="I10" s="77">
        <f t="shared" si="7"/>
        <v>6</v>
      </c>
      <c r="J10" s="77">
        <v>6</v>
      </c>
      <c r="K10" s="76">
        <f t="shared" si="5"/>
        <v>27.5</v>
      </c>
      <c r="L10" s="11">
        <f t="shared" si="1"/>
        <v>27.00000000000001</v>
      </c>
      <c r="M10" s="32">
        <f t="shared" si="2"/>
        <v>0.49999999999998934</v>
      </c>
      <c r="N10" s="32">
        <f t="shared" si="3"/>
        <v>0.49999999999998934</v>
      </c>
      <c r="O10" s="38">
        <f t="shared" si="6"/>
        <v>0.24999999999998934</v>
      </c>
    </row>
    <row r="11" spans="1:15" ht="12.75">
      <c r="A11" s="25" t="s">
        <v>96</v>
      </c>
      <c r="B11" s="33">
        <v>31.5</v>
      </c>
      <c r="D11" s="6" t="s">
        <v>60</v>
      </c>
      <c r="E11" s="74">
        <f>E10*E10</f>
        <v>0.7647960160888716</v>
      </c>
      <c r="G11" s="1">
        <f t="shared" si="4"/>
        <v>0</v>
      </c>
      <c r="H11" s="45" t="str">
        <f t="shared" si="0"/>
        <v>Year 7</v>
      </c>
      <c r="I11" s="77">
        <f t="shared" si="7"/>
        <v>7</v>
      </c>
      <c r="J11" s="77">
        <v>7</v>
      </c>
      <c r="K11" s="76">
        <f t="shared" si="5"/>
        <v>31.5</v>
      </c>
      <c r="L11" s="11">
        <f t="shared" si="1"/>
        <v>28.100000000000012</v>
      </c>
      <c r="M11" s="32">
        <f t="shared" si="2"/>
        <v>3.399999999999988</v>
      </c>
      <c r="N11" s="32">
        <f t="shared" si="3"/>
        <v>3.399999999999988</v>
      </c>
      <c r="O11" s="38">
        <f t="shared" si="6"/>
        <v>11.559999999999917</v>
      </c>
    </row>
    <row r="12" spans="1:15" ht="12.75">
      <c r="A12" s="25" t="s">
        <v>97</v>
      </c>
      <c r="B12" s="33">
        <v>29.7</v>
      </c>
      <c r="D12" s="75" t="s">
        <v>26</v>
      </c>
      <c r="E12" s="74">
        <f>E10*STDEV(B5:B28)/STDEV(I5:I28)</f>
        <v>1.100000000000002</v>
      </c>
      <c r="G12" s="1">
        <f t="shared" si="4"/>
        <v>0</v>
      </c>
      <c r="H12" s="45" t="str">
        <f t="shared" si="0"/>
        <v>Year 8</v>
      </c>
      <c r="I12" s="77">
        <f t="shared" si="7"/>
        <v>8</v>
      </c>
      <c r="J12" s="77">
        <v>8</v>
      </c>
      <c r="K12" s="76">
        <f t="shared" si="5"/>
        <v>29.7</v>
      </c>
      <c r="L12" s="11">
        <f t="shared" si="1"/>
        <v>29.200000000000017</v>
      </c>
      <c r="M12" s="32">
        <f t="shared" si="2"/>
        <v>0.49999999999998224</v>
      </c>
      <c r="N12" s="32">
        <f t="shared" si="3"/>
        <v>0.49999999999998224</v>
      </c>
      <c r="O12" s="38">
        <f t="shared" si="6"/>
        <v>0.24999999999998224</v>
      </c>
    </row>
    <row r="13" spans="1:15" ht="12.75">
      <c r="A13" s="25" t="s">
        <v>98</v>
      </c>
      <c r="B13" s="33">
        <v>28.6</v>
      </c>
      <c r="D13" s="75" t="s">
        <v>25</v>
      </c>
      <c r="E13" s="74">
        <f>ROUND(AVERAGE(B5:B28)-E12*AVERAGE(I5:I28),3)</f>
        <v>20.4</v>
      </c>
      <c r="G13" s="1">
        <f t="shared" si="4"/>
        <v>0</v>
      </c>
      <c r="H13" s="45" t="str">
        <f t="shared" si="0"/>
        <v>Year 9</v>
      </c>
      <c r="I13" s="77">
        <f t="shared" si="7"/>
        <v>9</v>
      </c>
      <c r="J13" s="77">
        <v>9</v>
      </c>
      <c r="K13" s="76">
        <f t="shared" si="5"/>
        <v>28.6</v>
      </c>
      <c r="L13" s="11">
        <f t="shared" si="1"/>
        <v>30.30000000000002</v>
      </c>
      <c r="M13" s="32">
        <f t="shared" si="2"/>
        <v>-1.700000000000017</v>
      </c>
      <c r="N13" s="32">
        <f t="shared" si="3"/>
        <v>1.700000000000017</v>
      </c>
      <c r="O13" s="38">
        <f t="shared" si="6"/>
        <v>2.890000000000058</v>
      </c>
    </row>
    <row r="14" spans="1:15" ht="13.5" thickBot="1">
      <c r="A14" s="25" t="s">
        <v>99</v>
      </c>
      <c r="B14" s="33">
        <v>31.4</v>
      </c>
      <c r="D14" s="72" t="s">
        <v>62</v>
      </c>
      <c r="E14" s="73" t="str">
        <f>"Y = "&amp;ROUND(E13,3)&amp;" + "&amp;ROUND(E12,3)&amp;" * time"</f>
        <v>Y = 20.4 + 1.1 * time</v>
      </c>
      <c r="G14" s="1">
        <f t="shared" si="4"/>
        <v>0</v>
      </c>
      <c r="H14" s="45" t="str">
        <f t="shared" si="0"/>
        <v>Year 10</v>
      </c>
      <c r="I14" s="77">
        <f t="shared" si="7"/>
        <v>10</v>
      </c>
      <c r="J14" s="77">
        <v>10</v>
      </c>
      <c r="K14" s="76">
        <f t="shared" si="5"/>
        <v>31.4</v>
      </c>
      <c r="L14" s="11">
        <f t="shared" si="1"/>
        <v>31.40000000000002</v>
      </c>
      <c r="M14" s="32">
        <f t="shared" si="2"/>
        <v>-2.1316282072803006E-14</v>
      </c>
      <c r="N14" s="32">
        <f t="shared" si="3"/>
        <v>2.1316282072803006E-14</v>
      </c>
      <c r="O14" s="38">
        <f t="shared" si="6"/>
        <v>4.543838814073028E-28</v>
      </c>
    </row>
    <row r="15" spans="1:15" ht="12.75">
      <c r="A15" s="25"/>
      <c r="B15" s="33"/>
      <c r="C15" s="9"/>
      <c r="D15" s="9"/>
      <c r="E15" s="9"/>
      <c r="F15" s="9"/>
      <c r="G15" s="1">
        <f t="shared" si="4"/>
        <v>1</v>
      </c>
      <c r="H15" s="45">
        <f t="shared" si="0"/>
      </c>
      <c r="I15" s="77">
        <f t="shared" si="7"/>
      </c>
      <c r="J15" s="77">
        <v>11</v>
      </c>
      <c r="K15" s="76">
        <f t="shared" si="5"/>
      </c>
      <c r="L15" s="11">
        <f t="shared" si="1"/>
        <v>32.50000000000002</v>
      </c>
      <c r="M15" s="32">
        <f t="shared" si="2"/>
      </c>
      <c r="N15" s="32">
        <f t="shared" si="3"/>
      </c>
      <c r="O15" s="38">
        <f t="shared" si="6"/>
      </c>
    </row>
    <row r="16" spans="1:15" ht="12.75">
      <c r="A16" s="25"/>
      <c r="B16" s="33"/>
      <c r="C16" s="9"/>
      <c r="D16" s="9"/>
      <c r="E16" s="9"/>
      <c r="F16" s="9"/>
      <c r="G16" s="1">
        <f t="shared" si="4"/>
        <v>1</v>
      </c>
      <c r="H16" s="45">
        <f t="shared" si="0"/>
      </c>
      <c r="I16" s="77">
        <f t="shared" si="7"/>
      </c>
      <c r="J16" s="77">
        <v>12</v>
      </c>
      <c r="K16" s="76">
        <f t="shared" si="5"/>
      </c>
      <c r="L16" s="11">
        <f t="shared" si="1"/>
        <v>33.60000000000002</v>
      </c>
      <c r="M16" s="32">
        <f t="shared" si="2"/>
      </c>
      <c r="N16" s="32">
        <f t="shared" si="3"/>
      </c>
      <c r="O16" s="38">
        <f t="shared" si="6"/>
      </c>
    </row>
    <row r="17" spans="1:15" ht="12.75">
      <c r="A17" s="25"/>
      <c r="B17" s="33"/>
      <c r="C17" s="9"/>
      <c r="D17" s="9"/>
      <c r="E17" s="9"/>
      <c r="F17" s="9"/>
      <c r="G17" s="1">
        <f t="shared" si="4"/>
        <v>1</v>
      </c>
      <c r="H17" s="45">
        <f t="shared" si="0"/>
      </c>
      <c r="I17" s="77">
        <f t="shared" si="7"/>
      </c>
      <c r="J17" s="77">
        <v>13</v>
      </c>
      <c r="K17" s="76">
        <f t="shared" si="5"/>
      </c>
      <c r="L17" s="11">
        <f t="shared" si="1"/>
        <v>34.700000000000024</v>
      </c>
      <c r="M17" s="32">
        <f t="shared" si="2"/>
      </c>
      <c r="N17" s="32">
        <f t="shared" si="3"/>
      </c>
      <c r="O17" s="38">
        <f t="shared" si="6"/>
      </c>
    </row>
    <row r="18" spans="1:15" ht="12.75">
      <c r="A18" s="25"/>
      <c r="B18" s="33"/>
      <c r="C18" s="9"/>
      <c r="D18" s="9"/>
      <c r="E18" s="9"/>
      <c r="F18" s="9"/>
      <c r="G18" s="1">
        <f t="shared" si="4"/>
        <v>1</v>
      </c>
      <c r="H18" s="45">
        <f t="shared" si="0"/>
      </c>
      <c r="I18" s="77">
        <f t="shared" si="7"/>
      </c>
      <c r="J18" s="77">
        <v>14</v>
      </c>
      <c r="K18" s="76">
        <f t="shared" si="5"/>
      </c>
      <c r="L18" s="11">
        <f t="shared" si="1"/>
        <v>35.800000000000026</v>
      </c>
      <c r="M18" s="32">
        <f t="shared" si="2"/>
      </c>
      <c r="N18" s="32">
        <f t="shared" si="3"/>
      </c>
      <c r="O18" s="38">
        <f t="shared" si="6"/>
      </c>
    </row>
    <row r="19" spans="1:15" ht="12.75">
      <c r="A19" s="25"/>
      <c r="B19" s="33"/>
      <c r="C19" s="9"/>
      <c r="D19" s="9"/>
      <c r="E19" s="9"/>
      <c r="F19" s="9"/>
      <c r="G19" s="1">
        <f t="shared" si="4"/>
        <v>1</v>
      </c>
      <c r="H19" s="45">
        <f t="shared" si="0"/>
      </c>
      <c r="I19" s="77">
        <f t="shared" si="7"/>
      </c>
      <c r="J19" s="77">
        <v>15</v>
      </c>
      <c r="K19" s="76">
        <f t="shared" si="5"/>
      </c>
      <c r="L19" s="11">
        <f t="shared" si="1"/>
        <v>36.900000000000034</v>
      </c>
      <c r="M19" s="32">
        <f t="shared" si="2"/>
      </c>
      <c r="N19" s="32">
        <f t="shared" si="3"/>
      </c>
      <c r="O19" s="38">
        <f t="shared" si="6"/>
      </c>
    </row>
    <row r="20" spans="1:15" ht="12.75">
      <c r="A20" s="25"/>
      <c r="B20" s="33"/>
      <c r="C20" s="9"/>
      <c r="D20" s="9"/>
      <c r="E20" s="9"/>
      <c r="F20" s="9"/>
      <c r="G20" s="1">
        <f t="shared" si="4"/>
        <v>1</v>
      </c>
      <c r="H20" s="45">
        <f t="shared" si="0"/>
      </c>
      <c r="I20" s="77">
        <f t="shared" si="7"/>
      </c>
      <c r="J20" s="77">
        <v>16</v>
      </c>
      <c r="K20" s="76">
        <f t="shared" si="5"/>
      </c>
      <c r="L20" s="11">
        <f t="shared" si="1"/>
        <v>38.00000000000003</v>
      </c>
      <c r="M20" s="32">
        <f t="shared" si="2"/>
      </c>
      <c r="N20" s="32">
        <f t="shared" si="3"/>
      </c>
      <c r="O20" s="38">
        <f t="shared" si="6"/>
      </c>
    </row>
    <row r="21" spans="1:15" ht="12.75">
      <c r="A21" s="25"/>
      <c r="B21" s="33"/>
      <c r="C21" s="9"/>
      <c r="D21" s="9"/>
      <c r="E21" s="9"/>
      <c r="F21" s="9"/>
      <c r="G21" s="1">
        <f t="shared" si="4"/>
        <v>1</v>
      </c>
      <c r="H21" s="45">
        <f t="shared" si="0"/>
      </c>
      <c r="I21" s="77">
        <f t="shared" si="7"/>
      </c>
      <c r="J21" s="77">
        <v>17</v>
      </c>
      <c r="K21" s="76">
        <f t="shared" si="5"/>
      </c>
      <c r="L21" s="11">
        <f t="shared" si="1"/>
        <v>39.10000000000004</v>
      </c>
      <c r="M21" s="32">
        <f t="shared" si="2"/>
      </c>
      <c r="N21" s="32">
        <f t="shared" si="3"/>
      </c>
      <c r="O21" s="38">
        <f t="shared" si="6"/>
      </c>
    </row>
    <row r="22" spans="1:15" ht="12.75">
      <c r="A22" s="25"/>
      <c r="B22" s="33"/>
      <c r="C22" s="9"/>
      <c r="D22" s="9"/>
      <c r="E22" s="9"/>
      <c r="F22" s="9"/>
      <c r="G22" s="1">
        <f t="shared" si="4"/>
        <v>1</v>
      </c>
      <c r="H22" s="45">
        <f t="shared" si="0"/>
      </c>
      <c r="I22" s="77">
        <f t="shared" si="7"/>
      </c>
      <c r="J22" s="77">
        <v>18</v>
      </c>
      <c r="K22" s="76">
        <f t="shared" si="5"/>
      </c>
      <c r="L22" s="11">
        <f t="shared" si="1"/>
        <v>40.20000000000003</v>
      </c>
      <c r="M22" s="32">
        <f t="shared" si="2"/>
      </c>
      <c r="N22" s="32">
        <f t="shared" si="3"/>
      </c>
      <c r="O22" s="38">
        <f t="shared" si="6"/>
      </c>
    </row>
    <row r="23" spans="1:15" ht="12.75">
      <c r="A23" s="25"/>
      <c r="B23" s="33"/>
      <c r="C23" s="9"/>
      <c r="D23" s="9"/>
      <c r="E23" s="9"/>
      <c r="F23" s="9"/>
      <c r="G23" s="1">
        <f t="shared" si="4"/>
        <v>1</v>
      </c>
      <c r="H23" s="45">
        <f t="shared" si="0"/>
      </c>
      <c r="I23" s="77">
        <f t="shared" si="7"/>
      </c>
      <c r="J23" s="77">
        <v>19</v>
      </c>
      <c r="K23" s="76">
        <f t="shared" si="5"/>
      </c>
      <c r="L23" s="11">
        <f t="shared" si="1"/>
        <v>41.30000000000004</v>
      </c>
      <c r="M23" s="32">
        <f t="shared" si="2"/>
      </c>
      <c r="N23" s="32">
        <f t="shared" si="3"/>
      </c>
      <c r="O23" s="38">
        <f t="shared" si="6"/>
      </c>
    </row>
    <row r="24" spans="1:15" ht="12.75">
      <c r="A24" s="25"/>
      <c r="B24" s="33"/>
      <c r="C24" s="9"/>
      <c r="D24" s="9"/>
      <c r="E24" s="9"/>
      <c r="F24" s="9"/>
      <c r="G24" s="1">
        <f t="shared" si="4"/>
        <v>1</v>
      </c>
      <c r="H24" s="45">
        <f t="shared" si="0"/>
      </c>
      <c r="I24" s="77">
        <f t="shared" si="7"/>
      </c>
      <c r="J24" s="77">
        <v>20</v>
      </c>
      <c r="K24" s="76">
        <f t="shared" si="5"/>
      </c>
      <c r="L24" s="11">
        <f t="shared" si="1"/>
        <v>42.40000000000004</v>
      </c>
      <c r="M24" s="32">
        <f t="shared" si="2"/>
      </c>
      <c r="N24" s="32">
        <f t="shared" si="3"/>
      </c>
      <c r="O24" s="38">
        <f t="shared" si="6"/>
      </c>
    </row>
    <row r="25" spans="1:15" ht="12.75">
      <c r="A25" s="25"/>
      <c r="B25" s="33"/>
      <c r="C25" s="9"/>
      <c r="D25" s="9"/>
      <c r="E25" s="9"/>
      <c r="F25" s="9"/>
      <c r="G25" s="1">
        <f t="shared" si="4"/>
        <v>1</v>
      </c>
      <c r="H25" s="45">
        <f t="shared" si="0"/>
      </c>
      <c r="I25" s="77">
        <f t="shared" si="7"/>
      </c>
      <c r="J25" s="77">
        <v>21</v>
      </c>
      <c r="K25" s="76">
        <f t="shared" si="5"/>
      </c>
      <c r="L25" s="11">
        <f t="shared" si="1"/>
        <v>43.50000000000004</v>
      </c>
      <c r="M25" s="32">
        <f t="shared" si="2"/>
      </c>
      <c r="N25" s="32">
        <f t="shared" si="3"/>
      </c>
      <c r="O25" s="38">
        <f t="shared" si="6"/>
      </c>
    </row>
    <row r="26" spans="1:15" ht="12.75">
      <c r="A26" s="25"/>
      <c r="B26" s="33"/>
      <c r="C26" s="9"/>
      <c r="D26" s="9"/>
      <c r="E26" s="9"/>
      <c r="F26" s="9"/>
      <c r="G26" s="1">
        <f t="shared" si="4"/>
        <v>1</v>
      </c>
      <c r="H26" s="45">
        <f t="shared" si="0"/>
      </c>
      <c r="I26" s="77">
        <f t="shared" si="7"/>
      </c>
      <c r="J26" s="77">
        <v>22</v>
      </c>
      <c r="K26" s="76">
        <f t="shared" si="5"/>
      </c>
      <c r="L26" s="11">
        <f t="shared" si="1"/>
        <v>44.600000000000044</v>
      </c>
      <c r="M26" s="32">
        <f t="shared" si="2"/>
      </c>
      <c r="N26" s="32">
        <f t="shared" si="3"/>
      </c>
      <c r="O26" s="38">
        <f t="shared" si="6"/>
      </c>
    </row>
    <row r="27" spans="1:15" ht="12.75">
      <c r="A27" s="25"/>
      <c r="B27" s="33"/>
      <c r="C27" s="9"/>
      <c r="D27" s="9"/>
      <c r="E27" s="9"/>
      <c r="F27" s="9"/>
      <c r="G27" s="1">
        <f t="shared" si="4"/>
        <v>1</v>
      </c>
      <c r="H27" s="45">
        <f t="shared" si="0"/>
      </c>
      <c r="I27" s="77">
        <f t="shared" si="7"/>
      </c>
      <c r="J27" s="77">
        <v>23</v>
      </c>
      <c r="K27" s="76">
        <f t="shared" si="5"/>
      </c>
      <c r="L27" s="11">
        <f t="shared" si="1"/>
        <v>45.700000000000045</v>
      </c>
      <c r="M27" s="32">
        <f t="shared" si="2"/>
      </c>
      <c r="N27" s="32">
        <f t="shared" si="3"/>
      </c>
      <c r="O27" s="38">
        <f t="shared" si="6"/>
      </c>
    </row>
    <row r="28" spans="1:15" ht="13.5" thickBot="1">
      <c r="A28" s="26"/>
      <c r="B28" s="34"/>
      <c r="C28" s="9"/>
      <c r="D28" s="9"/>
      <c r="E28" s="9"/>
      <c r="F28" s="9"/>
      <c r="G28" s="1">
        <f t="shared" si="4"/>
        <v>1</v>
      </c>
      <c r="H28" s="45">
        <f>IF(ISBLANK(A28),"",A28)</f>
      </c>
      <c r="I28" s="77">
        <f t="shared" si="7"/>
      </c>
      <c r="J28" s="77">
        <v>24</v>
      </c>
      <c r="K28" s="76">
        <f t="shared" si="5"/>
      </c>
      <c r="L28" s="11">
        <f t="shared" si="1"/>
        <v>46.80000000000005</v>
      </c>
      <c r="M28" s="32">
        <f t="shared" si="2"/>
      </c>
      <c r="N28" s="32">
        <f>IF(M28="","",ABS(M28))</f>
      </c>
      <c r="O28" s="38">
        <f>IF(M28="","",M28^2)</f>
      </c>
    </row>
    <row r="29" spans="1:15" ht="12.75">
      <c r="A29" s="14"/>
      <c r="B29" s="15"/>
      <c r="C29" s="9"/>
      <c r="D29" s="9"/>
      <c r="E29" s="9"/>
      <c r="F29" s="9"/>
      <c r="G29" s="1">
        <f t="shared" si="4"/>
        <v>1</v>
      </c>
      <c r="H29" s="45"/>
      <c r="I29" s="11"/>
      <c r="J29" s="77">
        <v>25</v>
      </c>
      <c r="K29" s="77"/>
      <c r="L29" s="11">
        <f t="shared" si="1"/>
        <v>47.90000000000005</v>
      </c>
      <c r="M29" s="32"/>
      <c r="N29" s="32"/>
      <c r="O29" s="38"/>
    </row>
    <row r="30" spans="3:15" ht="12.75">
      <c r="C30" s="9"/>
      <c r="D30" s="9"/>
      <c r="E30" s="9"/>
      <c r="F30" s="9"/>
      <c r="H30" s="45"/>
      <c r="I30" s="11"/>
      <c r="J30" s="11"/>
      <c r="K30" s="11"/>
      <c r="L30" s="35" t="s">
        <v>15</v>
      </c>
      <c r="M30" s="32">
        <f>SUM(M5:M28)</f>
        <v>-1.0302869668521453E-13</v>
      </c>
      <c r="N30" s="32">
        <f>SUM(N5:N28)</f>
        <v>13.200000000000014</v>
      </c>
      <c r="O30" s="38">
        <f>SUM(O5:O28)</f>
        <v>30.70000000000003</v>
      </c>
    </row>
    <row r="31" spans="3:15" ht="12.75">
      <c r="C31" s="9"/>
      <c r="D31" s="9"/>
      <c r="E31" s="9"/>
      <c r="F31" s="9"/>
      <c r="H31" s="45"/>
      <c r="I31" s="11"/>
      <c r="J31" s="11"/>
      <c r="K31" s="11"/>
      <c r="L31" s="35" t="s">
        <v>16</v>
      </c>
      <c r="M31" s="32">
        <f>AVERAGE(M5:M28)</f>
        <v>-1.0302869668521452E-14</v>
      </c>
      <c r="N31" s="32">
        <f>AVERAGE(N5:N28)</f>
        <v>1.3200000000000014</v>
      </c>
      <c r="O31" s="38">
        <f>AVERAGE(O5:O28)</f>
        <v>3.070000000000003</v>
      </c>
    </row>
    <row r="32" spans="3:15" ht="13.5" thickBot="1">
      <c r="C32" s="9"/>
      <c r="D32" s="9"/>
      <c r="E32" s="9"/>
      <c r="F32" s="9"/>
      <c r="H32" s="46"/>
      <c r="I32" s="39"/>
      <c r="J32" s="39"/>
      <c r="K32" s="39"/>
      <c r="L32" s="39"/>
      <c r="M32" s="40" t="s">
        <v>17</v>
      </c>
      <c r="N32" s="40" t="s">
        <v>18</v>
      </c>
      <c r="O32" s="41" t="s">
        <v>19</v>
      </c>
    </row>
    <row r="33" spans="3:15" ht="12.75">
      <c r="C33" s="9"/>
      <c r="D33" s="9"/>
      <c r="E33" s="9"/>
      <c r="F33" s="9"/>
      <c r="H33" s="12"/>
      <c r="I33" s="12"/>
      <c r="J33" s="12"/>
      <c r="K33" s="12"/>
      <c r="L33" s="12"/>
      <c r="M33" s="12"/>
      <c r="N33" s="42" t="s">
        <v>20</v>
      </c>
      <c r="O33" s="28">
        <f>SQRT(O30/(COUNT(O5:O28)-2))</f>
        <v>1.9589538024159743</v>
      </c>
    </row>
    <row r="34" ht="12.75">
      <c r="O34" s="1">
        <f>IF(COUNT(O5:O28)-2&lt;1,"Not enough data to compute the standard error","")</f>
      </c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25" right="0.25" top="0.5" bottom="0.5" header="0" footer="0"/>
  <pageSetup horizontalDpi="300" verticalDpi="3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F3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20.7109375" style="1" customWidth="1"/>
    <col min="2" max="2" width="16.57421875" style="1" bestFit="1" customWidth="1"/>
    <col min="3" max="3" width="7.28125" style="1" customWidth="1"/>
    <col min="4" max="4" width="30.28125" style="1" customWidth="1"/>
    <col min="5" max="5" width="28.7109375" style="1" bestFit="1" customWidth="1"/>
    <col min="6" max="6" width="32.28125" style="1" customWidth="1"/>
    <col min="7" max="7" width="8.57421875" style="1" hidden="1" customWidth="1"/>
    <col min="8" max="8" width="14.8515625" style="1" bestFit="1" customWidth="1"/>
    <col min="9" max="9" width="5.57421875" style="1" hidden="1" customWidth="1"/>
    <col min="10" max="10" width="5.7109375" style="1" hidden="1" customWidth="1"/>
    <col min="11" max="11" width="12.00390625" style="1" hidden="1" customWidth="1"/>
    <col min="12" max="12" width="9.421875" style="1" hidden="1" customWidth="1"/>
    <col min="13" max="13" width="10.28125" style="1" hidden="1" customWidth="1"/>
    <col min="14" max="14" width="14.7109375" style="1" hidden="1" customWidth="1"/>
    <col min="15" max="15" width="8.57421875" style="1" bestFit="1" customWidth="1"/>
    <col min="16" max="16" width="13.421875" style="1" bestFit="1" customWidth="1"/>
    <col min="17" max="18" width="15.00390625" style="1" customWidth="1"/>
    <col min="19" max="19" width="17.7109375" style="1" bestFit="1" customWidth="1"/>
    <col min="20" max="20" width="9.140625" style="1" customWidth="1"/>
    <col min="21" max="22" width="10.421875" style="1" hidden="1" customWidth="1"/>
    <col min="23" max="23" width="10.00390625" style="1" hidden="1" customWidth="1"/>
    <col min="24" max="26" width="10.421875" style="1" hidden="1" customWidth="1"/>
    <col min="27" max="27" width="10.00390625" style="1" hidden="1" customWidth="1"/>
    <col min="28" max="31" width="10.421875" style="1" hidden="1" customWidth="1"/>
    <col min="32" max="32" width="10.00390625" style="1" hidden="1" customWidth="1"/>
    <col min="33" max="16384" width="9.140625" style="1" customWidth="1"/>
  </cols>
  <sheetData>
    <row r="1" spans="1:7" ht="18">
      <c r="A1" s="8" t="s">
        <v>52</v>
      </c>
      <c r="B1" s="9"/>
      <c r="C1" s="9"/>
      <c r="D1" s="9"/>
      <c r="G1" s="1">
        <v>2</v>
      </c>
    </row>
    <row r="2" spans="1:7" ht="12.75">
      <c r="A2" s="2"/>
      <c r="B2" s="2"/>
      <c r="G2" s="1">
        <v>3</v>
      </c>
    </row>
    <row r="3" spans="1:7" ht="12.75">
      <c r="A3" s="51" t="s">
        <v>36</v>
      </c>
      <c r="B3" s="3">
        <v>4</v>
      </c>
      <c r="G3" s="1">
        <v>4</v>
      </c>
    </row>
    <row r="5" spans="1:16" ht="13.5" thickBot="1">
      <c r="A5" s="13" t="s">
        <v>2</v>
      </c>
      <c r="P5" s="10" t="s">
        <v>3</v>
      </c>
    </row>
    <row r="6" spans="1:32" ht="12.75">
      <c r="A6" s="18" t="s">
        <v>4</v>
      </c>
      <c r="B6" s="24" t="s">
        <v>5</v>
      </c>
      <c r="D6" s="4" t="s">
        <v>6</v>
      </c>
      <c r="E6" s="29">
        <f>VLOOKUP(1,G8:P31,10,FALSE)</f>
        <v>6.889999999999994</v>
      </c>
      <c r="H6" s="44" t="s">
        <v>4</v>
      </c>
      <c r="I6" s="48" t="s">
        <v>37</v>
      </c>
      <c r="J6" s="48" t="s">
        <v>38</v>
      </c>
      <c r="K6" s="36" t="s">
        <v>39</v>
      </c>
      <c r="L6" s="48" t="s">
        <v>23</v>
      </c>
      <c r="M6" s="48" t="s">
        <v>24</v>
      </c>
      <c r="N6" s="48" t="s">
        <v>53</v>
      </c>
      <c r="O6" s="36" t="s">
        <v>5</v>
      </c>
      <c r="P6" s="36" t="s">
        <v>7</v>
      </c>
      <c r="Q6" s="36" t="s">
        <v>8</v>
      </c>
      <c r="R6" s="36" t="s">
        <v>9</v>
      </c>
      <c r="S6" s="23" t="s">
        <v>10</v>
      </c>
      <c r="U6" s="1" t="s">
        <v>41</v>
      </c>
      <c r="V6" s="1" t="s">
        <v>42</v>
      </c>
      <c r="W6" s="1" t="s">
        <v>40</v>
      </c>
      <c r="X6" s="1" t="s">
        <v>43</v>
      </c>
      <c r="Y6" s="1" t="s">
        <v>44</v>
      </c>
      <c r="Z6" s="1" t="s">
        <v>45</v>
      </c>
      <c r="AA6" s="1" t="s">
        <v>46</v>
      </c>
      <c r="AB6" s="1" t="s">
        <v>47</v>
      </c>
      <c r="AC6" s="1" t="s">
        <v>48</v>
      </c>
      <c r="AD6" s="1" t="s">
        <v>49</v>
      </c>
      <c r="AE6" s="1" t="s">
        <v>50</v>
      </c>
      <c r="AF6" s="1" t="s">
        <v>51</v>
      </c>
    </row>
    <row r="7" spans="1:32" ht="12.75">
      <c r="A7" s="25" t="s">
        <v>100</v>
      </c>
      <c r="B7" s="33">
        <v>4.8</v>
      </c>
      <c r="D7" s="5"/>
      <c r="E7" s="30"/>
      <c r="H7" s="45" t="str">
        <f aca="true" t="shared" si="0" ref="H7:H29">IF(ISBLANK(A7),"",A7)</f>
        <v>Year 1 Quarter 1</v>
      </c>
      <c r="I7" s="11">
        <f>IF(ISBLANK(B7),"",1)</f>
        <v>1</v>
      </c>
      <c r="J7" s="49">
        <f aca="true" t="shared" si="1" ref="J7:J30">IF(ISBLANK(B7),"",AVERAGE($B$7:$B$30))</f>
        <v>6.38125</v>
      </c>
      <c r="K7" s="49">
        <f>IF(ISBLANK(B7),"",B7-J7)</f>
        <v>-1.5812499999999998</v>
      </c>
      <c r="L7" s="49">
        <f aca="true" t="shared" si="2" ref="L7:L20">IF($B$3=2,W7,IF($B$3=3,AA7,IF($B$3=4,AF7,"")))</f>
        <v>-0.6562499999999998</v>
      </c>
      <c r="M7" s="49">
        <f>IF(ISBLANK($B7),"",$B7-L7)</f>
        <v>5.45625</v>
      </c>
      <c r="N7" s="49">
        <f>$M$35+$K$35</f>
        <v>5.353308823529411</v>
      </c>
      <c r="O7" s="76">
        <f>IF(ISBLANK(B7),"",B7)</f>
        <v>4.8</v>
      </c>
      <c r="P7" s="49">
        <f aca="true" t="shared" si="3" ref="P7:P21">N7+L7</f>
        <v>4.697058823529411</v>
      </c>
      <c r="Q7" s="11"/>
      <c r="R7" s="11"/>
      <c r="S7" s="37"/>
      <c r="U7" s="1">
        <f>IF($K7="","",1)</f>
        <v>1</v>
      </c>
      <c r="V7" s="1">
        <f>IF($K7="","",0)</f>
        <v>0</v>
      </c>
      <c r="W7" s="1">
        <f>IF(ISBLANK(B7),"",SUMPRODUCT($U$7:$U$30,$K$7:$K$30)/SUM($U$7:$U$30))</f>
        <v>0.018750000000000266</v>
      </c>
      <c r="X7" s="1">
        <f>IF($K7="","",1)</f>
        <v>1</v>
      </c>
      <c r="Y7" s="1">
        <f>IF($K7="","",0)</f>
        <v>0</v>
      </c>
      <c r="Z7" s="1">
        <f>IF($K7="","",0)</f>
        <v>0</v>
      </c>
      <c r="AA7" s="1">
        <f>IF(ISBLANK($B7),"",SUMPRODUCT($X$7:$X$30,$K$7:$K$30)/SUM($X$7:$X$30))</f>
        <v>0.018750000000000266</v>
      </c>
      <c r="AB7" s="1">
        <f>IF($K7="","",1)</f>
        <v>1</v>
      </c>
      <c r="AC7" s="1">
        <f>IF($K7="","",0)</f>
        <v>0</v>
      </c>
      <c r="AD7" s="1">
        <f aca="true" t="shared" si="4" ref="AD7:AE9">IF($K7="","",0)</f>
        <v>0</v>
      </c>
      <c r="AE7" s="1">
        <f t="shared" si="4"/>
        <v>0</v>
      </c>
      <c r="AF7" s="1">
        <f>IF(ISBLANK($B7),"",SUMPRODUCT($AB$7:$AB$30,$K$7:$K$30)/SUM($AB$7:$AB$30))</f>
        <v>-0.6562499999999998</v>
      </c>
    </row>
    <row r="8" spans="1:32" ht="12.75">
      <c r="A8" s="25" t="s">
        <v>101</v>
      </c>
      <c r="B8" s="33">
        <v>4.1</v>
      </c>
      <c r="D8" s="6" t="s">
        <v>11</v>
      </c>
      <c r="E8" s="30">
        <f>Q33</f>
        <v>-0.006862745098036408</v>
      </c>
      <c r="G8" s="1">
        <f aca="true" t="shared" si="5" ref="G8:G29">IF(ISBLANK(B8),IF(P8="",0,1),0)</f>
        <v>0</v>
      </c>
      <c r="H8" s="45" t="str">
        <f t="shared" si="0"/>
        <v>Year 1 Quarter 2</v>
      </c>
      <c r="I8" s="11">
        <f>IF(ISBLANK(B8),"",1+I7)</f>
        <v>2</v>
      </c>
      <c r="J8" s="49">
        <f t="shared" si="1"/>
        <v>6.38125</v>
      </c>
      <c r="K8" s="49">
        <f aca="true" t="shared" si="6" ref="K8:K29">IF(ISBLANK(B8),"",B8-J8)</f>
        <v>-2.28125</v>
      </c>
      <c r="L8" s="49">
        <f t="shared" si="2"/>
        <v>-1.1812499999999997</v>
      </c>
      <c r="M8" s="49">
        <f aca="true" t="shared" si="7" ref="M8:M29">IF(ISBLANK($B8),"",$B8-L8)</f>
        <v>5.281249999999999</v>
      </c>
      <c r="N8" s="49">
        <f>N7+$K$35</f>
        <v>5.4903676470588225</v>
      </c>
      <c r="O8" s="76">
        <f aca="true" t="shared" si="8" ref="O8:O30">IF(ISBLANK(B8),"",B8)</f>
        <v>4.1</v>
      </c>
      <c r="P8" s="49">
        <f t="shared" si="3"/>
        <v>4.309117647058823</v>
      </c>
      <c r="Q8" s="32">
        <f aca="true" t="shared" si="9" ref="Q8:Q29">IF(ISBLANK(B8),"",IF(P8="","",B8-P8))</f>
        <v>-0.2091176470588234</v>
      </c>
      <c r="R8" s="32">
        <f aca="true" t="shared" si="10" ref="R8:R29">IF(Q8="","",ABS(Q8))</f>
        <v>0.2091176470588234</v>
      </c>
      <c r="S8" s="38">
        <f aca="true" t="shared" si="11" ref="S8:S29">IF(Q8="","",Q8^2)</f>
        <v>0.043730190311418636</v>
      </c>
      <c r="U8" s="1">
        <f>IF($K8="","",0)</f>
        <v>0</v>
      </c>
      <c r="V8" s="1">
        <f>IF($K8="","",1)</f>
        <v>1</v>
      </c>
      <c r="W8" s="1">
        <f>IF(ISBLANK(B8),"",SUMPRODUCT($V$7:$V$30,$K$7:$K$30)/SUM($V$7:$V$30))</f>
        <v>-0.0187499999999996</v>
      </c>
      <c r="X8" s="1">
        <f>IF($K8="","",0)</f>
        <v>0</v>
      </c>
      <c r="Y8" s="1">
        <f>IF($K8="","",1)</f>
        <v>1</v>
      </c>
      <c r="Z8" s="1">
        <f>IF($K8="","",0)</f>
        <v>0</v>
      </c>
      <c r="AA8" s="1">
        <f>IF(ISBLANK($B8),"",SUMPRODUCT($Y$7:$Y$30,$K$7:$K$30)/SUM($Y$7:$Y$30))</f>
        <v>-0.2412499999999996</v>
      </c>
      <c r="AB8" s="1">
        <f>IF($K8="","",0)</f>
        <v>0</v>
      </c>
      <c r="AC8" s="1">
        <f>IF($K8="","",1)</f>
        <v>1</v>
      </c>
      <c r="AD8" s="1">
        <f t="shared" si="4"/>
        <v>0</v>
      </c>
      <c r="AE8" s="1">
        <f t="shared" si="4"/>
        <v>0</v>
      </c>
      <c r="AF8" s="1">
        <f>IF(ISBLANK($B8),"",SUMPRODUCT($AC$7:$AC$30,$K$7:$K$30)/SUM($AC$7:$AC$30))</f>
        <v>-1.1812499999999997</v>
      </c>
    </row>
    <row r="9" spans="1:32" ht="12.75">
      <c r="A9" s="25" t="s">
        <v>102</v>
      </c>
      <c r="B9" s="33">
        <v>6</v>
      </c>
      <c r="D9" s="6" t="s">
        <v>12</v>
      </c>
      <c r="E9" s="30">
        <f>R33</f>
        <v>0.19549019607843085</v>
      </c>
      <c r="G9" s="1">
        <f t="shared" si="5"/>
        <v>0</v>
      </c>
      <c r="H9" s="45" t="str">
        <f t="shared" si="0"/>
        <v>Year 1 Quarter 3</v>
      </c>
      <c r="I9" s="11">
        <f aca="true" t="shared" si="12" ref="I9:I31">IF(ISBLANK(B9),"",1+I8)</f>
        <v>3</v>
      </c>
      <c r="J9" s="49">
        <f t="shared" si="1"/>
        <v>6.38125</v>
      </c>
      <c r="K9" s="49">
        <f t="shared" si="6"/>
        <v>-0.38124999999999964</v>
      </c>
      <c r="L9" s="49">
        <f t="shared" si="2"/>
        <v>0.6937500000000003</v>
      </c>
      <c r="M9" s="49">
        <f t="shared" si="7"/>
        <v>5.3062499999999995</v>
      </c>
      <c r="N9" s="49">
        <f>N8+$K$35</f>
        <v>5.627426470588234</v>
      </c>
      <c r="O9" s="76">
        <f t="shared" si="8"/>
        <v>6</v>
      </c>
      <c r="P9" s="49">
        <f t="shared" si="3"/>
        <v>6.3211764705882345</v>
      </c>
      <c r="Q9" s="32">
        <f t="shared" si="9"/>
        <v>-0.3211764705882345</v>
      </c>
      <c r="R9" s="32">
        <f t="shared" si="10"/>
        <v>0.3211764705882345</v>
      </c>
      <c r="S9" s="38">
        <f t="shared" si="11"/>
        <v>0.10315432525951507</v>
      </c>
      <c r="U9" s="1">
        <f>IF($K9="","",1)</f>
        <v>1</v>
      </c>
      <c r="V9" s="1">
        <f>IF($K9="","",0)</f>
        <v>0</v>
      </c>
      <c r="W9" s="1">
        <f>W7</f>
        <v>0.018750000000000266</v>
      </c>
      <c r="X9" s="1">
        <f>IF($K9="","",0)</f>
        <v>0</v>
      </c>
      <c r="Y9" s="1">
        <f>IF($K9="","",0)</f>
        <v>0</v>
      </c>
      <c r="Z9" s="1">
        <f>IF($K9="","",1)</f>
        <v>1</v>
      </c>
      <c r="AA9" s="1">
        <f>IF(ISBLANK($B9),"",SUMPRODUCT($Z$7:$Z$30,$K$7:$K$30)/SUM($Z$7:$Z$30))</f>
        <v>0.21875000000000036</v>
      </c>
      <c r="AB9" s="1">
        <f>IF($K9="","",0)</f>
        <v>0</v>
      </c>
      <c r="AC9" s="1">
        <f>IF($K9="","",0)</f>
        <v>0</v>
      </c>
      <c r="AD9" s="1">
        <f>IF($K9="","",1)</f>
        <v>1</v>
      </c>
      <c r="AE9" s="1">
        <f t="shared" si="4"/>
        <v>0</v>
      </c>
      <c r="AF9" s="1">
        <f>IF(ISBLANK($B9),"",SUMPRODUCT($AD$7:$AD$30,$K$7:$K$30)/SUM($AD$7:$AD$30))</f>
        <v>0.6937500000000003</v>
      </c>
    </row>
    <row r="10" spans="1:32" ht="12.75">
      <c r="A10" s="25" t="s">
        <v>103</v>
      </c>
      <c r="B10" s="33">
        <v>6.5</v>
      </c>
      <c r="D10" s="6" t="s">
        <v>13</v>
      </c>
      <c r="E10" s="30">
        <f>S33</f>
        <v>0.060330795847750876</v>
      </c>
      <c r="G10" s="1">
        <f t="shared" si="5"/>
        <v>0</v>
      </c>
      <c r="H10" s="45" t="str">
        <f t="shared" si="0"/>
        <v>Year 1 Quarter 4</v>
      </c>
      <c r="I10" s="11">
        <f t="shared" si="12"/>
        <v>4</v>
      </c>
      <c r="J10" s="49">
        <f t="shared" si="1"/>
        <v>6.38125</v>
      </c>
      <c r="K10" s="49">
        <f t="shared" si="6"/>
        <v>0.11875000000000036</v>
      </c>
      <c r="L10" s="49">
        <f t="shared" si="2"/>
        <v>1.1437500000000005</v>
      </c>
      <c r="M10" s="49">
        <f t="shared" si="7"/>
        <v>5.356249999999999</v>
      </c>
      <c r="N10" s="49">
        <f>N9+$K$35</f>
        <v>5.764485294117645</v>
      </c>
      <c r="O10" s="76">
        <f t="shared" si="8"/>
        <v>6.5</v>
      </c>
      <c r="P10" s="49">
        <f t="shared" si="3"/>
        <v>6.908235294117646</v>
      </c>
      <c r="Q10" s="32">
        <f t="shared" si="9"/>
        <v>-0.40823529411764614</v>
      </c>
      <c r="R10" s="32">
        <f t="shared" si="10"/>
        <v>0.40823529411764614</v>
      </c>
      <c r="S10" s="38">
        <f t="shared" si="11"/>
        <v>0.16665605536332104</v>
      </c>
      <c r="U10" s="1">
        <f>IF($K10="","",0)</f>
        <v>0</v>
      </c>
      <c r="V10" s="1">
        <f>IF($K10="","",1)</f>
        <v>1</v>
      </c>
      <c r="W10" s="1">
        <f aca="true" t="shared" si="13" ref="W10:W31">W8</f>
        <v>-0.0187499999999996</v>
      </c>
      <c r="X10" s="1">
        <f>IF($K10="","",1)</f>
        <v>1</v>
      </c>
      <c r="Y10" s="1">
        <f>IF($K10="","",0)</f>
        <v>0</v>
      </c>
      <c r="Z10" s="1">
        <f>IF($K10="","",0)</f>
        <v>0</v>
      </c>
      <c r="AA10" s="1">
        <f>AA7</f>
        <v>0.018750000000000266</v>
      </c>
      <c r="AB10" s="1">
        <f>IF($K10="","",0)</f>
        <v>0</v>
      </c>
      <c r="AC10" s="1">
        <f>IF($K10="","",0)</f>
        <v>0</v>
      </c>
      <c r="AD10" s="1">
        <f>IF($K10="","",0)</f>
        <v>0</v>
      </c>
      <c r="AE10" s="1">
        <f>IF($K10="","",1)</f>
        <v>1</v>
      </c>
      <c r="AF10" s="1">
        <f>IF(ISBLANK($B10),"",SUMPRODUCT($AE$7:$AE$30,$K$7:$K$30)/SUM($AE$7:$AE$30))</f>
        <v>1.1437500000000005</v>
      </c>
    </row>
    <row r="11" spans="1:32" ht="13.5" thickBot="1">
      <c r="A11" s="25" t="s">
        <v>104</v>
      </c>
      <c r="B11" s="33">
        <v>5.8</v>
      </c>
      <c r="D11" s="7" t="s">
        <v>14</v>
      </c>
      <c r="E11" s="31">
        <f>S35</f>
        <v>0.26384172669880107</v>
      </c>
      <c r="G11" s="1">
        <f t="shared" si="5"/>
        <v>0</v>
      </c>
      <c r="H11" s="45" t="str">
        <f t="shared" si="0"/>
        <v>Year 2 Quarter 1</v>
      </c>
      <c r="I11" s="11">
        <f t="shared" si="12"/>
        <v>5</v>
      </c>
      <c r="J11" s="49">
        <f t="shared" si="1"/>
        <v>6.38125</v>
      </c>
      <c r="K11" s="49">
        <f t="shared" si="6"/>
        <v>-0.5812499999999998</v>
      </c>
      <c r="L11" s="49">
        <f t="shared" si="2"/>
        <v>-0.6562499999999998</v>
      </c>
      <c r="M11" s="49">
        <f t="shared" si="7"/>
        <v>6.45625</v>
      </c>
      <c r="N11" s="49">
        <f>N10+$K$35</f>
        <v>5.901544117647057</v>
      </c>
      <c r="O11" s="76">
        <f t="shared" si="8"/>
        <v>5.8</v>
      </c>
      <c r="P11" s="49">
        <f t="shared" si="3"/>
        <v>5.245294117647057</v>
      </c>
      <c r="Q11" s="32">
        <f t="shared" si="9"/>
        <v>0.5547058823529429</v>
      </c>
      <c r="R11" s="32">
        <f t="shared" si="10"/>
        <v>0.5547058823529429</v>
      </c>
      <c r="S11" s="38">
        <f t="shared" si="11"/>
        <v>0.30769861591695696</v>
      </c>
      <c r="U11" s="1">
        <f>IF($K11="","",1)</f>
        <v>1</v>
      </c>
      <c r="V11" s="1">
        <f>IF($K11="","",0)</f>
        <v>0</v>
      </c>
      <c r="W11" s="1">
        <f t="shared" si="13"/>
        <v>0.018750000000000266</v>
      </c>
      <c r="X11" s="1">
        <f>IF($K11="","",0)</f>
        <v>0</v>
      </c>
      <c r="Y11" s="1">
        <f>IF($K11="","",1)</f>
        <v>1</v>
      </c>
      <c r="Z11" s="1">
        <f>IF($K11="","",0)</f>
        <v>0</v>
      </c>
      <c r="AA11" s="1">
        <f aca="true" t="shared" si="14" ref="AA11:AA31">AA8</f>
        <v>-0.2412499999999996</v>
      </c>
      <c r="AB11" s="1">
        <f>IF($K11="","",1)</f>
        <v>1</v>
      </c>
      <c r="AC11" s="1">
        <f>IF($K11="","",0)</f>
        <v>0</v>
      </c>
      <c r="AD11" s="1">
        <f>IF($K11="","",0)</f>
        <v>0</v>
      </c>
      <c r="AE11" s="1">
        <f>IF($K11="","",0)</f>
        <v>0</v>
      </c>
      <c r="AF11" s="1">
        <f>AF7</f>
        <v>-0.6562499999999998</v>
      </c>
    </row>
    <row r="12" spans="1:32" ht="12.75">
      <c r="A12" s="25" t="s">
        <v>105</v>
      </c>
      <c r="B12" s="33">
        <v>5.2</v>
      </c>
      <c r="C12" s="9"/>
      <c r="D12" s="9"/>
      <c r="E12" s="9"/>
      <c r="F12" s="9"/>
      <c r="G12" s="1">
        <f t="shared" si="5"/>
        <v>0</v>
      </c>
      <c r="H12" s="45" t="str">
        <f t="shared" si="0"/>
        <v>Year 2 Quarter 2</v>
      </c>
      <c r="I12" s="11">
        <f t="shared" si="12"/>
        <v>6</v>
      </c>
      <c r="J12" s="49">
        <f t="shared" si="1"/>
        <v>6.38125</v>
      </c>
      <c r="K12" s="49">
        <f t="shared" si="6"/>
        <v>-1.1812499999999995</v>
      </c>
      <c r="L12" s="49">
        <f t="shared" si="2"/>
        <v>-1.1812499999999997</v>
      </c>
      <c r="M12" s="49">
        <f t="shared" si="7"/>
        <v>6.38125</v>
      </c>
      <c r="N12" s="49">
        <f>N11+$K$35</f>
        <v>6.038602941176468</v>
      </c>
      <c r="O12" s="76">
        <f t="shared" si="8"/>
        <v>5.2</v>
      </c>
      <c r="P12" s="49">
        <f t="shared" si="3"/>
        <v>4.857352941176469</v>
      </c>
      <c r="Q12" s="32">
        <f t="shared" si="9"/>
        <v>0.3426470588235313</v>
      </c>
      <c r="R12" s="32">
        <f t="shared" si="10"/>
        <v>0.3426470588235313</v>
      </c>
      <c r="S12" s="38">
        <f t="shared" si="11"/>
        <v>0.11740700692041652</v>
      </c>
      <c r="U12" s="1">
        <f>IF($K12="","",0)</f>
        <v>0</v>
      </c>
      <c r="V12" s="1">
        <f>IF($K12="","",1)</f>
        <v>1</v>
      </c>
      <c r="W12" s="1">
        <f t="shared" si="13"/>
        <v>-0.0187499999999996</v>
      </c>
      <c r="X12" s="1">
        <f>IF($K12="","",0)</f>
        <v>0</v>
      </c>
      <c r="Y12" s="1">
        <f>IF($K12="","",0)</f>
        <v>0</v>
      </c>
      <c r="Z12" s="1">
        <f>IF($K12="","",1)</f>
        <v>1</v>
      </c>
      <c r="AA12" s="1">
        <f t="shared" si="14"/>
        <v>0.21875000000000036</v>
      </c>
      <c r="AB12" s="1">
        <f>IF($K12="","",0)</f>
        <v>0</v>
      </c>
      <c r="AC12" s="1">
        <f>IF($K12="","",1)</f>
        <v>1</v>
      </c>
      <c r="AD12" s="1">
        <f>IF($K12="","",0)</f>
        <v>0</v>
      </c>
      <c r="AE12" s="1">
        <f>IF($K12="","",0)</f>
        <v>0</v>
      </c>
      <c r="AF12" s="1">
        <f aca="true" t="shared" si="15" ref="AF12:AF31">AF8</f>
        <v>-1.1812499999999997</v>
      </c>
    </row>
    <row r="13" spans="1:32" ht="12.75">
      <c r="A13" s="25" t="s">
        <v>106</v>
      </c>
      <c r="B13" s="33">
        <v>6.8</v>
      </c>
      <c r="C13" s="9"/>
      <c r="D13" s="9"/>
      <c r="E13" s="9"/>
      <c r="F13" s="9"/>
      <c r="G13" s="1">
        <f t="shared" si="5"/>
        <v>0</v>
      </c>
      <c r="H13" s="45" t="str">
        <f t="shared" si="0"/>
        <v>Year 2 Quarter 3</v>
      </c>
      <c r="I13" s="11">
        <f t="shared" si="12"/>
        <v>7</v>
      </c>
      <c r="J13" s="49">
        <f t="shared" si="1"/>
        <v>6.38125</v>
      </c>
      <c r="K13" s="49">
        <f t="shared" si="6"/>
        <v>0.4187500000000002</v>
      </c>
      <c r="L13" s="49">
        <f t="shared" si="2"/>
        <v>0.6937500000000003</v>
      </c>
      <c r="M13" s="49">
        <f t="shared" si="7"/>
        <v>6.106249999999999</v>
      </c>
      <c r="N13" s="49">
        <f aca="true" t="shared" si="16" ref="N13:N31">N12+$K$35</f>
        <v>6.17566176470588</v>
      </c>
      <c r="O13" s="76">
        <f t="shared" si="8"/>
        <v>6.8</v>
      </c>
      <c r="P13" s="49">
        <f t="shared" si="3"/>
        <v>6.86941176470588</v>
      </c>
      <c r="Q13" s="32">
        <f t="shared" si="9"/>
        <v>-0.06941176470588051</v>
      </c>
      <c r="R13" s="32">
        <f t="shared" si="10"/>
        <v>0.06941176470588051</v>
      </c>
      <c r="S13" s="38">
        <f t="shared" si="11"/>
        <v>0.004817993079584519</v>
      </c>
      <c r="U13" s="1">
        <f>IF($K13="","",1)</f>
        <v>1</v>
      </c>
      <c r="V13" s="1">
        <f>IF($K13="","",0)</f>
        <v>0</v>
      </c>
      <c r="W13" s="1">
        <f t="shared" si="13"/>
        <v>0.018750000000000266</v>
      </c>
      <c r="X13" s="1">
        <f>IF($K13="","",1)</f>
        <v>1</v>
      </c>
      <c r="Y13" s="1">
        <f>IF($K13="","",0)</f>
        <v>0</v>
      </c>
      <c r="Z13" s="1">
        <f>IF($K13="","",0)</f>
        <v>0</v>
      </c>
      <c r="AA13" s="1">
        <f t="shared" si="14"/>
        <v>0.018750000000000266</v>
      </c>
      <c r="AB13" s="1">
        <f>IF($K13="","",0)</f>
        <v>0</v>
      </c>
      <c r="AC13" s="1">
        <f>IF($K13="","",0)</f>
        <v>0</v>
      </c>
      <c r="AD13" s="1">
        <f>IF($K13="","",1)</f>
        <v>1</v>
      </c>
      <c r="AE13" s="1">
        <f>IF($K13="","",0)</f>
        <v>0</v>
      </c>
      <c r="AF13" s="1">
        <f t="shared" si="15"/>
        <v>0.6937500000000003</v>
      </c>
    </row>
    <row r="14" spans="1:32" ht="12.75">
      <c r="A14" s="25" t="s">
        <v>107</v>
      </c>
      <c r="B14" s="33">
        <v>7.4</v>
      </c>
      <c r="C14" s="9"/>
      <c r="D14" s="9"/>
      <c r="E14" s="9"/>
      <c r="F14" s="9"/>
      <c r="G14" s="1">
        <f t="shared" si="5"/>
        <v>0</v>
      </c>
      <c r="H14" s="45" t="str">
        <f t="shared" si="0"/>
        <v>Year 2 Quarter 4</v>
      </c>
      <c r="I14" s="11">
        <f t="shared" si="12"/>
        <v>8</v>
      </c>
      <c r="J14" s="49">
        <f t="shared" si="1"/>
        <v>6.38125</v>
      </c>
      <c r="K14" s="49">
        <f t="shared" si="6"/>
        <v>1.0187500000000007</v>
      </c>
      <c r="L14" s="49">
        <f t="shared" si="2"/>
        <v>1.1437500000000005</v>
      </c>
      <c r="M14" s="49">
        <f t="shared" si="7"/>
        <v>6.25625</v>
      </c>
      <c r="N14" s="49">
        <f t="shared" si="16"/>
        <v>6.312720588235291</v>
      </c>
      <c r="O14" s="76">
        <f t="shared" si="8"/>
        <v>7.4</v>
      </c>
      <c r="P14" s="49">
        <f t="shared" si="3"/>
        <v>7.456470588235292</v>
      </c>
      <c r="Q14" s="32">
        <f t="shared" si="9"/>
        <v>-0.05647058823529161</v>
      </c>
      <c r="R14" s="32">
        <f t="shared" si="10"/>
        <v>0.05647058823529161</v>
      </c>
      <c r="S14" s="38">
        <f t="shared" si="11"/>
        <v>0.003188927335639855</v>
      </c>
      <c r="U14" s="1">
        <f>IF($K14="","",0)</f>
        <v>0</v>
      </c>
      <c r="V14" s="1">
        <f>IF($K14="","",1)</f>
        <v>1</v>
      </c>
      <c r="W14" s="1">
        <f t="shared" si="13"/>
        <v>-0.0187499999999996</v>
      </c>
      <c r="X14" s="1">
        <f>IF($K14="","",0)</f>
        <v>0</v>
      </c>
      <c r="Y14" s="1">
        <f>IF($K14="","",1)</f>
        <v>1</v>
      </c>
      <c r="Z14" s="1">
        <f>IF($K14="","",0)</f>
        <v>0</v>
      </c>
      <c r="AA14" s="1">
        <f t="shared" si="14"/>
        <v>-0.2412499999999996</v>
      </c>
      <c r="AB14" s="1">
        <f>IF($K14="","",0)</f>
        <v>0</v>
      </c>
      <c r="AC14" s="1">
        <f>IF($K14="","",0)</f>
        <v>0</v>
      </c>
      <c r="AD14" s="1">
        <f>IF($K14="","",0)</f>
        <v>0</v>
      </c>
      <c r="AE14" s="1">
        <f>IF($K14="","",1)</f>
        <v>1</v>
      </c>
      <c r="AF14" s="1">
        <f t="shared" si="15"/>
        <v>1.1437500000000005</v>
      </c>
    </row>
    <row r="15" spans="1:32" ht="12.75">
      <c r="A15" s="25" t="s">
        <v>108</v>
      </c>
      <c r="B15" s="33">
        <v>6</v>
      </c>
      <c r="C15" s="9"/>
      <c r="D15" s="9"/>
      <c r="E15" s="9"/>
      <c r="F15" s="9"/>
      <c r="G15" s="1">
        <f t="shared" si="5"/>
        <v>0</v>
      </c>
      <c r="H15" s="45" t="str">
        <f t="shared" si="0"/>
        <v>Year 3 Quarter 1</v>
      </c>
      <c r="I15" s="11">
        <f t="shared" si="12"/>
        <v>9</v>
      </c>
      <c r="J15" s="49">
        <f t="shared" si="1"/>
        <v>6.38125</v>
      </c>
      <c r="K15" s="49">
        <f t="shared" si="6"/>
        <v>-0.38124999999999964</v>
      </c>
      <c r="L15" s="49">
        <f t="shared" si="2"/>
        <v>-0.6562499999999998</v>
      </c>
      <c r="M15" s="49">
        <f t="shared" si="7"/>
        <v>6.65625</v>
      </c>
      <c r="N15" s="49">
        <f t="shared" si="16"/>
        <v>6.449779411764703</v>
      </c>
      <c r="O15" s="76">
        <f t="shared" si="8"/>
        <v>6</v>
      </c>
      <c r="P15" s="49">
        <f t="shared" si="3"/>
        <v>5.793529411764703</v>
      </c>
      <c r="Q15" s="32">
        <f t="shared" si="9"/>
        <v>0.2064705882352973</v>
      </c>
      <c r="R15" s="32">
        <f t="shared" si="10"/>
        <v>0.2064705882352973</v>
      </c>
      <c r="S15" s="38">
        <f t="shared" si="11"/>
        <v>0.04263010380622968</v>
      </c>
      <c r="U15" s="1">
        <f>IF($K15="","",1)</f>
        <v>1</v>
      </c>
      <c r="V15" s="1">
        <f>IF($K15="","",0)</f>
        <v>0</v>
      </c>
      <c r="W15" s="1">
        <f t="shared" si="13"/>
        <v>0.018750000000000266</v>
      </c>
      <c r="X15" s="1">
        <f>IF($K15="","",0)</f>
        <v>0</v>
      </c>
      <c r="Y15" s="1">
        <f>IF($K15="","",0)</f>
        <v>0</v>
      </c>
      <c r="Z15" s="1">
        <f>IF($K15="","",1)</f>
        <v>1</v>
      </c>
      <c r="AA15" s="1">
        <f t="shared" si="14"/>
        <v>0.21875000000000036</v>
      </c>
      <c r="AB15" s="1">
        <f>IF($K15="","",1)</f>
        <v>1</v>
      </c>
      <c r="AC15" s="1">
        <f>IF($K15="","",0)</f>
        <v>0</v>
      </c>
      <c r="AD15" s="1">
        <f>IF($K15="","",0)</f>
        <v>0</v>
      </c>
      <c r="AE15" s="1">
        <f>IF($K15="","",0)</f>
        <v>0</v>
      </c>
      <c r="AF15" s="1">
        <f t="shared" si="15"/>
        <v>-0.6562499999999998</v>
      </c>
    </row>
    <row r="16" spans="1:32" ht="12.75">
      <c r="A16" s="25" t="s">
        <v>109</v>
      </c>
      <c r="B16" s="33">
        <v>5.6</v>
      </c>
      <c r="C16" s="9"/>
      <c r="D16" s="9"/>
      <c r="E16" s="9"/>
      <c r="F16" s="9"/>
      <c r="G16" s="1">
        <f t="shared" si="5"/>
        <v>0</v>
      </c>
      <c r="H16" s="45" t="str">
        <f t="shared" si="0"/>
        <v>Year 3 Quarter 2</v>
      </c>
      <c r="I16" s="11">
        <f t="shared" si="12"/>
        <v>10</v>
      </c>
      <c r="J16" s="49">
        <f t="shared" si="1"/>
        <v>6.38125</v>
      </c>
      <c r="K16" s="49">
        <f t="shared" si="6"/>
        <v>-0.78125</v>
      </c>
      <c r="L16" s="49">
        <f t="shared" si="2"/>
        <v>-1.1812499999999997</v>
      </c>
      <c r="M16" s="49">
        <f t="shared" si="7"/>
        <v>6.781249999999999</v>
      </c>
      <c r="N16" s="49">
        <f t="shared" si="16"/>
        <v>6.586838235294114</v>
      </c>
      <c r="O16" s="76">
        <f t="shared" si="8"/>
        <v>5.6</v>
      </c>
      <c r="P16" s="49">
        <f t="shared" si="3"/>
        <v>5.405588235294115</v>
      </c>
      <c r="Q16" s="32">
        <f t="shared" si="9"/>
        <v>0.19441176470588495</v>
      </c>
      <c r="R16" s="32">
        <f t="shared" si="10"/>
        <v>0.19441176470588495</v>
      </c>
      <c r="S16" s="38">
        <f t="shared" si="11"/>
        <v>0.037795934256056374</v>
      </c>
      <c r="U16" s="1">
        <f>IF($K16="","",0)</f>
        <v>0</v>
      </c>
      <c r="V16" s="1">
        <f>IF($K16="","",1)</f>
        <v>1</v>
      </c>
      <c r="W16" s="1">
        <f t="shared" si="13"/>
        <v>-0.0187499999999996</v>
      </c>
      <c r="X16" s="1">
        <f>IF($K16="","",1)</f>
        <v>1</v>
      </c>
      <c r="Y16" s="1">
        <f>IF($K16="","",0)</f>
        <v>0</v>
      </c>
      <c r="Z16" s="1">
        <f>IF($K16="","",0)</f>
        <v>0</v>
      </c>
      <c r="AA16" s="1">
        <f t="shared" si="14"/>
        <v>0.018750000000000266</v>
      </c>
      <c r="AB16" s="1">
        <f>IF($K16="","",0)</f>
        <v>0</v>
      </c>
      <c r="AC16" s="1">
        <f>IF($K16="","",1)</f>
        <v>1</v>
      </c>
      <c r="AD16" s="1">
        <f>IF($K16="","",0)</f>
        <v>0</v>
      </c>
      <c r="AE16" s="1">
        <f>IF($K16="","",0)</f>
        <v>0</v>
      </c>
      <c r="AF16" s="1">
        <f t="shared" si="15"/>
        <v>-1.1812499999999997</v>
      </c>
    </row>
    <row r="17" spans="1:32" ht="12.75">
      <c r="A17" s="25" t="s">
        <v>110</v>
      </c>
      <c r="B17" s="33">
        <v>7.5</v>
      </c>
      <c r="C17" s="9"/>
      <c r="D17" s="9"/>
      <c r="E17" s="9"/>
      <c r="F17" s="9"/>
      <c r="G17" s="1">
        <f t="shared" si="5"/>
        <v>0</v>
      </c>
      <c r="H17" s="45" t="str">
        <f t="shared" si="0"/>
        <v>Year 3 Quarter 3</v>
      </c>
      <c r="I17" s="11">
        <f t="shared" si="12"/>
        <v>11</v>
      </c>
      <c r="J17" s="49">
        <f t="shared" si="1"/>
        <v>6.38125</v>
      </c>
      <c r="K17" s="49">
        <f t="shared" si="6"/>
        <v>1.1187500000000004</v>
      </c>
      <c r="L17" s="49">
        <f t="shared" si="2"/>
        <v>0.6937500000000003</v>
      </c>
      <c r="M17" s="49">
        <f t="shared" si="7"/>
        <v>6.8062499999999995</v>
      </c>
      <c r="N17" s="49">
        <f t="shared" si="16"/>
        <v>6.723897058823526</v>
      </c>
      <c r="O17" s="76">
        <f t="shared" si="8"/>
        <v>7.5</v>
      </c>
      <c r="P17" s="49">
        <f t="shared" si="3"/>
        <v>7.417647058823526</v>
      </c>
      <c r="Q17" s="32">
        <f t="shared" si="9"/>
        <v>0.08235294117647385</v>
      </c>
      <c r="R17" s="32">
        <f t="shared" si="10"/>
        <v>0.08235294117647385</v>
      </c>
      <c r="S17" s="38">
        <f t="shared" si="11"/>
        <v>0.006782006920415762</v>
      </c>
      <c r="U17" s="1">
        <f>IF($K17="","",1)</f>
        <v>1</v>
      </c>
      <c r="V17" s="1">
        <f>IF($K17="","",0)</f>
        <v>0</v>
      </c>
      <c r="W17" s="1">
        <f>W15</f>
        <v>0.018750000000000266</v>
      </c>
      <c r="X17" s="1">
        <f>IF($K17="","",0)</f>
        <v>0</v>
      </c>
      <c r="Y17" s="1">
        <f>IF($K17="","",1)</f>
        <v>1</v>
      </c>
      <c r="Z17" s="1">
        <f>IF($K17="","",0)</f>
        <v>0</v>
      </c>
      <c r="AA17" s="1">
        <f t="shared" si="14"/>
        <v>-0.2412499999999996</v>
      </c>
      <c r="AB17" s="1">
        <f>IF($K17="","",0)</f>
        <v>0</v>
      </c>
      <c r="AC17" s="1">
        <f>IF($K17="","",0)</f>
        <v>0</v>
      </c>
      <c r="AD17" s="1">
        <f>IF($K17="","",1)</f>
        <v>1</v>
      </c>
      <c r="AE17" s="1">
        <f>IF($K17="","",0)</f>
        <v>0</v>
      </c>
      <c r="AF17" s="1">
        <f t="shared" si="15"/>
        <v>0.6937500000000003</v>
      </c>
    </row>
    <row r="18" spans="1:32" ht="12.75">
      <c r="A18" s="25" t="s">
        <v>111</v>
      </c>
      <c r="B18" s="33">
        <v>7.8</v>
      </c>
      <c r="C18" s="9"/>
      <c r="D18" s="9"/>
      <c r="E18" s="9"/>
      <c r="F18" s="9"/>
      <c r="G18" s="1">
        <f t="shared" si="5"/>
        <v>0</v>
      </c>
      <c r="H18" s="45" t="str">
        <f t="shared" si="0"/>
        <v>Year 3 Quarter 4</v>
      </c>
      <c r="I18" s="11">
        <f t="shared" si="12"/>
        <v>12</v>
      </c>
      <c r="J18" s="49">
        <f t="shared" si="1"/>
        <v>6.38125</v>
      </c>
      <c r="K18" s="49">
        <f t="shared" si="6"/>
        <v>1.4187500000000002</v>
      </c>
      <c r="L18" s="49">
        <f t="shared" si="2"/>
        <v>1.1437500000000005</v>
      </c>
      <c r="M18" s="49">
        <f t="shared" si="7"/>
        <v>6.656249999999999</v>
      </c>
      <c r="N18" s="49">
        <f t="shared" si="16"/>
        <v>6.860955882352937</v>
      </c>
      <c r="O18" s="76">
        <f t="shared" si="8"/>
        <v>7.8</v>
      </c>
      <c r="P18" s="49">
        <f t="shared" si="3"/>
        <v>8.004705882352937</v>
      </c>
      <c r="Q18" s="32">
        <f t="shared" si="9"/>
        <v>-0.20470588235293707</v>
      </c>
      <c r="R18" s="32">
        <f t="shared" si="10"/>
        <v>0.20470588235293707</v>
      </c>
      <c r="S18" s="38">
        <f t="shared" si="11"/>
        <v>0.041904498269894515</v>
      </c>
      <c r="U18" s="1">
        <f>IF($K18="","",0)</f>
        <v>0</v>
      </c>
      <c r="V18" s="1">
        <f>IF($K18="","",1)</f>
        <v>1</v>
      </c>
      <c r="W18" s="1">
        <f t="shared" si="13"/>
        <v>-0.0187499999999996</v>
      </c>
      <c r="X18" s="1">
        <f>IF($K18="","",0)</f>
        <v>0</v>
      </c>
      <c r="Y18" s="1">
        <f>IF($K18="","",0)</f>
        <v>0</v>
      </c>
      <c r="Z18" s="1">
        <f>IF($K18="","",1)</f>
        <v>1</v>
      </c>
      <c r="AA18" s="1">
        <f t="shared" si="14"/>
        <v>0.21875000000000036</v>
      </c>
      <c r="AB18" s="1">
        <f>IF($K18="","",0)</f>
        <v>0</v>
      </c>
      <c r="AC18" s="1">
        <f>IF($K18="","",0)</f>
        <v>0</v>
      </c>
      <c r="AD18" s="1">
        <f>IF($K18="","",0)</f>
        <v>0</v>
      </c>
      <c r="AE18" s="1">
        <f>IF($K18="","",1)</f>
        <v>1</v>
      </c>
      <c r="AF18" s="1">
        <f t="shared" si="15"/>
        <v>1.1437500000000005</v>
      </c>
    </row>
    <row r="19" spans="1:32" ht="12.75">
      <c r="A19" s="25" t="s">
        <v>112</v>
      </c>
      <c r="B19" s="33">
        <v>6.3</v>
      </c>
      <c r="C19" s="9"/>
      <c r="D19" s="9"/>
      <c r="E19" s="9"/>
      <c r="F19" s="9"/>
      <c r="G19" s="1">
        <f t="shared" si="5"/>
        <v>0</v>
      </c>
      <c r="H19" s="45" t="str">
        <f t="shared" si="0"/>
        <v>Year 4 Quarter 1</v>
      </c>
      <c r="I19" s="11">
        <f t="shared" si="12"/>
        <v>13</v>
      </c>
      <c r="J19" s="49">
        <f t="shared" si="1"/>
        <v>6.38125</v>
      </c>
      <c r="K19" s="49">
        <f t="shared" si="6"/>
        <v>-0.08124999999999982</v>
      </c>
      <c r="L19" s="49">
        <f t="shared" si="2"/>
        <v>-0.6562499999999998</v>
      </c>
      <c r="M19" s="49">
        <f t="shared" si="7"/>
        <v>6.95625</v>
      </c>
      <c r="N19" s="49">
        <f t="shared" si="16"/>
        <v>6.9980147058823485</v>
      </c>
      <c r="O19" s="76">
        <f t="shared" si="8"/>
        <v>6.3</v>
      </c>
      <c r="P19" s="49">
        <f t="shared" si="3"/>
        <v>6.3417647058823485</v>
      </c>
      <c r="Q19" s="32">
        <f t="shared" si="9"/>
        <v>-0.04176470588234871</v>
      </c>
      <c r="R19" s="32">
        <f t="shared" si="10"/>
        <v>0.04176470588234871</v>
      </c>
      <c r="S19" s="38">
        <f t="shared" si="11"/>
        <v>0.0017442906574390927</v>
      </c>
      <c r="U19" s="1">
        <f>IF($K19="","",1)</f>
        <v>1</v>
      </c>
      <c r="V19" s="1">
        <f>IF($K19="","",0)</f>
        <v>0</v>
      </c>
      <c r="W19" s="1">
        <f t="shared" si="13"/>
        <v>0.018750000000000266</v>
      </c>
      <c r="X19" s="1">
        <f>IF($K19="","",1)</f>
        <v>1</v>
      </c>
      <c r="Y19" s="1">
        <f>IF($K19="","",0)</f>
        <v>0</v>
      </c>
      <c r="Z19" s="1">
        <f>IF($K19="","",0)</f>
        <v>0</v>
      </c>
      <c r="AA19" s="1">
        <f t="shared" si="14"/>
        <v>0.018750000000000266</v>
      </c>
      <c r="AB19" s="1">
        <f>IF($K19="","",1)</f>
        <v>1</v>
      </c>
      <c r="AC19" s="1">
        <f>IF($K19="","",0)</f>
        <v>0</v>
      </c>
      <c r="AD19" s="1">
        <f>IF($K19="","",0)</f>
        <v>0</v>
      </c>
      <c r="AE19" s="1">
        <f>IF($K19="","",0)</f>
        <v>0</v>
      </c>
      <c r="AF19" s="1">
        <f t="shared" si="15"/>
        <v>-0.6562499999999998</v>
      </c>
    </row>
    <row r="20" spans="1:32" ht="12.75">
      <c r="A20" s="25" t="s">
        <v>113</v>
      </c>
      <c r="B20" s="33">
        <v>5.9</v>
      </c>
      <c r="C20" s="9"/>
      <c r="D20" s="9"/>
      <c r="E20" s="9"/>
      <c r="F20" s="9"/>
      <c r="G20" s="1">
        <f t="shared" si="5"/>
        <v>0</v>
      </c>
      <c r="H20" s="45" t="str">
        <f t="shared" si="0"/>
        <v>Year 4 Quarter 2</v>
      </c>
      <c r="I20" s="11">
        <f t="shared" si="12"/>
        <v>14</v>
      </c>
      <c r="J20" s="49">
        <f t="shared" si="1"/>
        <v>6.38125</v>
      </c>
      <c r="K20" s="49">
        <f t="shared" si="6"/>
        <v>-0.4812499999999993</v>
      </c>
      <c r="L20" s="49">
        <f t="shared" si="2"/>
        <v>-1.1812499999999997</v>
      </c>
      <c r="M20" s="49">
        <f t="shared" si="7"/>
        <v>7.08125</v>
      </c>
      <c r="N20" s="49">
        <f t="shared" si="16"/>
        <v>7.13507352941176</v>
      </c>
      <c r="O20" s="76">
        <f t="shared" si="8"/>
        <v>5.9</v>
      </c>
      <c r="P20" s="49">
        <f t="shared" si="3"/>
        <v>5.9538235294117605</v>
      </c>
      <c r="Q20" s="32">
        <f t="shared" si="9"/>
        <v>-0.05382352941176016</v>
      </c>
      <c r="R20" s="32">
        <f t="shared" si="10"/>
        <v>0.05382352941176016</v>
      </c>
      <c r="S20" s="38">
        <f t="shared" si="11"/>
        <v>0.0028969723183386114</v>
      </c>
      <c r="U20" s="1">
        <f>IF($K20="","",0)</f>
        <v>0</v>
      </c>
      <c r="V20" s="1">
        <f>IF($K20="","",1)</f>
        <v>1</v>
      </c>
      <c r="W20" s="1">
        <f t="shared" si="13"/>
        <v>-0.0187499999999996</v>
      </c>
      <c r="X20" s="1">
        <f>IF($K20="","",0)</f>
        <v>0</v>
      </c>
      <c r="Y20" s="1">
        <f>IF($K20="","",1)</f>
        <v>1</v>
      </c>
      <c r="Z20" s="1">
        <f>IF($K20="","",0)</f>
        <v>0</v>
      </c>
      <c r="AA20" s="1">
        <f t="shared" si="14"/>
        <v>-0.2412499999999996</v>
      </c>
      <c r="AB20" s="1">
        <f>IF($K20="","",0)</f>
        <v>0</v>
      </c>
      <c r="AC20" s="1">
        <f>IF($K20="","",1)</f>
        <v>1</v>
      </c>
      <c r="AD20" s="1">
        <f>IF($K20="","",0)</f>
        <v>0</v>
      </c>
      <c r="AE20" s="1">
        <f>IF($K20="","",0)</f>
        <v>0</v>
      </c>
      <c r="AF20" s="1">
        <f t="shared" si="15"/>
        <v>-1.1812499999999997</v>
      </c>
    </row>
    <row r="21" spans="1:32" ht="12.75">
      <c r="A21" s="25" t="s">
        <v>114</v>
      </c>
      <c r="B21" s="33">
        <v>8</v>
      </c>
      <c r="C21" s="9"/>
      <c r="D21" s="9"/>
      <c r="E21" s="9"/>
      <c r="F21" s="9"/>
      <c r="G21" s="1">
        <f t="shared" si="5"/>
        <v>0</v>
      </c>
      <c r="H21" s="45" t="str">
        <f t="shared" si="0"/>
        <v>Year 4 Quarter 3</v>
      </c>
      <c r="I21" s="11">
        <f t="shared" si="12"/>
        <v>15</v>
      </c>
      <c r="J21" s="49">
        <f t="shared" si="1"/>
        <v>6.38125</v>
      </c>
      <c r="K21" s="49">
        <f t="shared" si="6"/>
        <v>1.6187500000000004</v>
      </c>
      <c r="L21" s="49">
        <f>IF($B$3=2,W21,IF($B$3=3,AA21,IF($B$3=4,AF21,"")))</f>
        <v>0.6937500000000003</v>
      </c>
      <c r="M21" s="49">
        <f t="shared" si="7"/>
        <v>7.3062499999999995</v>
      </c>
      <c r="N21" s="49">
        <f t="shared" si="16"/>
        <v>7.272132352941171</v>
      </c>
      <c r="O21" s="76">
        <f t="shared" si="8"/>
        <v>8</v>
      </c>
      <c r="P21" s="49">
        <f t="shared" si="3"/>
        <v>7.965882352941172</v>
      </c>
      <c r="Q21" s="32">
        <f t="shared" si="9"/>
        <v>0.03411764705882803</v>
      </c>
      <c r="R21" s="32">
        <f t="shared" si="10"/>
        <v>0.03411764705882803</v>
      </c>
      <c r="S21" s="38">
        <f t="shared" si="11"/>
        <v>0.0011640138408307568</v>
      </c>
      <c r="U21" s="1">
        <f>IF($K21="","",1)</f>
        <v>1</v>
      </c>
      <c r="V21" s="1">
        <f>IF($K21="","",0)</f>
        <v>0</v>
      </c>
      <c r="W21" s="1">
        <f t="shared" si="13"/>
        <v>0.018750000000000266</v>
      </c>
      <c r="X21" s="1">
        <f>IF($K21="","",0)</f>
        <v>0</v>
      </c>
      <c r="Y21" s="1">
        <f>IF($K21="","",0)</f>
        <v>0</v>
      </c>
      <c r="Z21" s="1">
        <f>IF($K21="","",1)</f>
        <v>1</v>
      </c>
      <c r="AA21" s="1">
        <f t="shared" si="14"/>
        <v>0.21875000000000036</v>
      </c>
      <c r="AB21" s="1">
        <f>IF($K21="","",0)</f>
        <v>0</v>
      </c>
      <c r="AC21" s="1">
        <f>IF($K21="","",0)</f>
        <v>0</v>
      </c>
      <c r="AD21" s="1">
        <f>IF($K21="","",1)</f>
        <v>1</v>
      </c>
      <c r="AE21" s="1">
        <f>IF($K21="","",0)</f>
        <v>0</v>
      </c>
      <c r="AF21" s="1">
        <f t="shared" si="15"/>
        <v>0.6937500000000003</v>
      </c>
    </row>
    <row r="22" spans="1:32" ht="12.75">
      <c r="A22" s="25" t="s">
        <v>115</v>
      </c>
      <c r="B22" s="33">
        <v>8.4</v>
      </c>
      <c r="C22" s="9"/>
      <c r="D22" s="9"/>
      <c r="E22" s="9"/>
      <c r="F22" s="9"/>
      <c r="G22" s="1">
        <f t="shared" si="5"/>
        <v>0</v>
      </c>
      <c r="H22" s="45" t="str">
        <f t="shared" si="0"/>
        <v>Year 4 Quarter 4</v>
      </c>
      <c r="I22" s="11">
        <f t="shared" si="12"/>
        <v>16</v>
      </c>
      <c r="J22" s="49">
        <f t="shared" si="1"/>
        <v>6.38125</v>
      </c>
      <c r="K22" s="49">
        <f t="shared" si="6"/>
        <v>2.0187500000000007</v>
      </c>
      <c r="L22" s="49">
        <f>IF($B$3=2,W22,IF($B$3=3,AA22,IF($B$3=4,AF22,"")))</f>
        <v>1.1437500000000005</v>
      </c>
      <c r="M22" s="49">
        <f t="shared" si="7"/>
        <v>7.25625</v>
      </c>
      <c r="N22" s="49">
        <f t="shared" si="16"/>
        <v>7.409191176470583</v>
      </c>
      <c r="O22" s="76">
        <f t="shared" si="8"/>
        <v>8.4</v>
      </c>
      <c r="P22" s="49">
        <f>N22+L22</f>
        <v>8.552941176470583</v>
      </c>
      <c r="Q22" s="32">
        <f t="shared" si="9"/>
        <v>-0.15294117647058236</v>
      </c>
      <c r="R22" s="32">
        <f t="shared" si="10"/>
        <v>0.15294117647058236</v>
      </c>
      <c r="S22" s="38">
        <f t="shared" si="11"/>
        <v>0.023391003460205815</v>
      </c>
      <c r="U22" s="1">
        <f>IF($K22="","",0)</f>
        <v>0</v>
      </c>
      <c r="V22" s="1">
        <f>IF($K22="","",1)</f>
        <v>1</v>
      </c>
      <c r="W22" s="1">
        <f t="shared" si="13"/>
        <v>-0.0187499999999996</v>
      </c>
      <c r="X22" s="1">
        <f>IF($K22="","",1)</f>
        <v>1</v>
      </c>
      <c r="Y22" s="1">
        <f>IF($K22="","",0)</f>
        <v>0</v>
      </c>
      <c r="Z22" s="1">
        <f>IF($K22="","",0)</f>
        <v>0</v>
      </c>
      <c r="AA22" s="1">
        <f t="shared" si="14"/>
        <v>0.018750000000000266</v>
      </c>
      <c r="AB22" s="1">
        <f>IF($K22="","",0)</f>
        <v>0</v>
      </c>
      <c r="AC22" s="1">
        <f>IF($K22="","",0)</f>
        <v>0</v>
      </c>
      <c r="AD22" s="1">
        <f>IF($K22="","",0)</f>
        <v>0</v>
      </c>
      <c r="AE22" s="1">
        <f>IF($K22="","",1)</f>
        <v>1</v>
      </c>
      <c r="AF22" s="1">
        <f t="shared" si="15"/>
        <v>1.1437500000000005</v>
      </c>
    </row>
    <row r="23" spans="1:32" ht="12.75">
      <c r="A23" s="25"/>
      <c r="B23" s="33"/>
      <c r="C23" s="9"/>
      <c r="D23" s="9"/>
      <c r="E23" s="9"/>
      <c r="F23" s="9"/>
      <c r="G23" s="1">
        <f t="shared" si="5"/>
        <v>1</v>
      </c>
      <c r="H23" s="45">
        <f t="shared" si="0"/>
      </c>
      <c r="I23" s="11">
        <f t="shared" si="12"/>
      </c>
      <c r="J23" s="49">
        <f t="shared" si="1"/>
      </c>
      <c r="K23" s="49">
        <f t="shared" si="6"/>
      </c>
      <c r="L23" s="49">
        <f>IF($B$3=2,W23,IF($B$3=3,AA23,IF($B$3=4,AF23,"")))</f>
        <v>-0.6562499999999998</v>
      </c>
      <c r="M23" s="49">
        <f t="shared" si="7"/>
      </c>
      <c r="N23" s="49">
        <f t="shared" si="16"/>
        <v>7.546249999999994</v>
      </c>
      <c r="O23" s="76">
        <f t="shared" si="8"/>
      </c>
      <c r="P23" s="49">
        <f>N23+L23</f>
        <v>6.889999999999994</v>
      </c>
      <c r="Q23" s="32">
        <f t="shared" si="9"/>
      </c>
      <c r="R23" s="32">
        <f t="shared" si="10"/>
      </c>
      <c r="S23" s="38">
        <f t="shared" si="11"/>
      </c>
      <c r="U23" s="1">
        <f>IF($K23="","",1)</f>
      </c>
      <c r="V23" s="1">
        <f>IF($K23="","",0)</f>
      </c>
      <c r="W23" s="1">
        <f t="shared" si="13"/>
        <v>0.018750000000000266</v>
      </c>
      <c r="X23" s="1">
        <f>IF($K23="","",0)</f>
      </c>
      <c r="Y23" s="1">
        <f>IF($K23="","",1)</f>
      </c>
      <c r="Z23" s="1">
        <f>IF($K23="","",0)</f>
      </c>
      <c r="AA23" s="1">
        <f t="shared" si="14"/>
        <v>-0.2412499999999996</v>
      </c>
      <c r="AB23" s="1">
        <f>IF($K23="","",1)</f>
      </c>
      <c r="AC23" s="1">
        <f>IF($K23="","",0)</f>
      </c>
      <c r="AD23" s="1">
        <f>IF($K23="","",0)</f>
      </c>
      <c r="AE23" s="1">
        <f>IF($K23="","",0)</f>
      </c>
      <c r="AF23" s="1">
        <f t="shared" si="15"/>
        <v>-0.6562499999999998</v>
      </c>
    </row>
    <row r="24" spans="1:32" ht="12.75">
      <c r="A24" s="25"/>
      <c r="B24" s="33"/>
      <c r="C24" s="9"/>
      <c r="D24" s="9"/>
      <c r="E24" s="9"/>
      <c r="F24" s="9"/>
      <c r="G24" s="1">
        <f t="shared" si="5"/>
        <v>1</v>
      </c>
      <c r="H24" s="45">
        <f t="shared" si="0"/>
      </c>
      <c r="I24" s="11">
        <f t="shared" si="12"/>
      </c>
      <c r="J24" s="49">
        <f t="shared" si="1"/>
      </c>
      <c r="K24" s="49">
        <f t="shared" si="6"/>
      </c>
      <c r="L24" s="49">
        <f aca="true" t="shared" si="17" ref="L24:L30">IF($B$3=2,W24,IF($B$3=3,AA24,IF($B$3=4,AF24,"")))</f>
        <v>-1.1812499999999997</v>
      </c>
      <c r="M24" s="49">
        <f t="shared" si="7"/>
      </c>
      <c r="N24" s="49">
        <f t="shared" si="16"/>
        <v>7.683308823529406</v>
      </c>
      <c r="O24" s="76">
        <f t="shared" si="8"/>
      </c>
      <c r="P24" s="49">
        <f aca="true" t="shared" si="18" ref="P24:P30">N24+L24</f>
        <v>6.502058823529406</v>
      </c>
      <c r="Q24" s="32">
        <f t="shared" si="9"/>
      </c>
      <c r="R24" s="32">
        <f t="shared" si="10"/>
      </c>
      <c r="S24" s="38">
        <f t="shared" si="11"/>
      </c>
      <c r="U24" s="1">
        <f>IF($K24="","",0)</f>
      </c>
      <c r="V24" s="1">
        <f>IF($K24="","",1)</f>
      </c>
      <c r="W24" s="1">
        <f t="shared" si="13"/>
        <v>-0.0187499999999996</v>
      </c>
      <c r="X24" s="1">
        <f>IF($K24="","",0)</f>
      </c>
      <c r="Y24" s="1">
        <f>IF($K24="","",0)</f>
      </c>
      <c r="Z24" s="1">
        <f>IF($K24="","",1)</f>
      </c>
      <c r="AA24" s="1">
        <f t="shared" si="14"/>
        <v>0.21875000000000036</v>
      </c>
      <c r="AB24" s="1">
        <f>IF($K24="","",0)</f>
      </c>
      <c r="AC24" s="1">
        <f>IF($K24="","",1)</f>
      </c>
      <c r="AD24" s="1">
        <f>IF($K24="","",0)</f>
      </c>
      <c r="AE24" s="1">
        <f>IF($K24="","",0)</f>
      </c>
      <c r="AF24" s="1">
        <f t="shared" si="15"/>
        <v>-1.1812499999999997</v>
      </c>
    </row>
    <row r="25" spans="1:32" ht="12.75">
      <c r="A25" s="25"/>
      <c r="B25" s="33"/>
      <c r="C25" s="9"/>
      <c r="D25" s="9"/>
      <c r="E25" s="9"/>
      <c r="F25" s="9"/>
      <c r="G25" s="1">
        <f t="shared" si="5"/>
        <v>1</v>
      </c>
      <c r="H25" s="45">
        <f t="shared" si="0"/>
      </c>
      <c r="I25" s="11">
        <f t="shared" si="12"/>
      </c>
      <c r="J25" s="49">
        <f t="shared" si="1"/>
      </c>
      <c r="K25" s="49">
        <f t="shared" si="6"/>
      </c>
      <c r="L25" s="49">
        <f t="shared" si="17"/>
        <v>0.6937500000000003</v>
      </c>
      <c r="M25" s="49">
        <f t="shared" si="7"/>
      </c>
      <c r="N25" s="49">
        <f t="shared" si="16"/>
        <v>7.820367647058817</v>
      </c>
      <c r="O25" s="76">
        <f t="shared" si="8"/>
      </c>
      <c r="P25" s="49">
        <f t="shared" si="18"/>
        <v>8.514117647058818</v>
      </c>
      <c r="Q25" s="32">
        <f t="shared" si="9"/>
      </c>
      <c r="R25" s="32">
        <f t="shared" si="10"/>
      </c>
      <c r="S25" s="38">
        <f t="shared" si="11"/>
      </c>
      <c r="U25" s="1">
        <f>IF($K25="","",1)</f>
      </c>
      <c r="V25" s="1">
        <f>IF($K25="","",0)</f>
      </c>
      <c r="W25" s="1">
        <f t="shared" si="13"/>
        <v>0.018750000000000266</v>
      </c>
      <c r="X25" s="1">
        <f>IF($K25="","",1)</f>
      </c>
      <c r="Y25" s="1">
        <f>IF($K25="","",0)</f>
      </c>
      <c r="Z25" s="1">
        <f>IF($K25="","",0)</f>
      </c>
      <c r="AA25" s="1">
        <f t="shared" si="14"/>
        <v>0.018750000000000266</v>
      </c>
      <c r="AB25" s="1">
        <f>IF($K25="","",0)</f>
      </c>
      <c r="AC25" s="1">
        <f>IF($K25="","",0)</f>
      </c>
      <c r="AD25" s="1">
        <f>IF($K25="","",1)</f>
      </c>
      <c r="AE25" s="1">
        <f>IF($K25="","",0)</f>
      </c>
      <c r="AF25" s="1">
        <f t="shared" si="15"/>
        <v>0.6937500000000003</v>
      </c>
    </row>
    <row r="26" spans="1:32" ht="12.75">
      <c r="A26" s="25"/>
      <c r="B26" s="33"/>
      <c r="C26" s="9"/>
      <c r="D26" s="9"/>
      <c r="E26" s="9"/>
      <c r="F26" s="9"/>
      <c r="G26" s="1">
        <f t="shared" si="5"/>
        <v>1</v>
      </c>
      <c r="H26" s="45">
        <f t="shared" si="0"/>
      </c>
      <c r="I26" s="11">
        <f t="shared" si="12"/>
      </c>
      <c r="J26" s="49">
        <f t="shared" si="1"/>
      </c>
      <c r="K26" s="49">
        <f t="shared" si="6"/>
      </c>
      <c r="L26" s="49">
        <f t="shared" si="17"/>
        <v>1.1437500000000005</v>
      </c>
      <c r="M26" s="49">
        <f t="shared" si="7"/>
      </c>
      <c r="N26" s="49">
        <f t="shared" si="16"/>
        <v>7.957426470588229</v>
      </c>
      <c r="O26" s="76">
        <f t="shared" si="8"/>
      </c>
      <c r="P26" s="49">
        <f t="shared" si="18"/>
        <v>9.101176470588229</v>
      </c>
      <c r="Q26" s="32">
        <f t="shared" si="9"/>
      </c>
      <c r="R26" s="32">
        <f t="shared" si="10"/>
      </c>
      <c r="S26" s="38">
        <f t="shared" si="11"/>
      </c>
      <c r="U26" s="1">
        <f>IF($K26="","",0)</f>
      </c>
      <c r="V26" s="1">
        <f>IF($K26="","",1)</f>
      </c>
      <c r="W26" s="1">
        <f t="shared" si="13"/>
        <v>-0.0187499999999996</v>
      </c>
      <c r="X26" s="1">
        <f>IF($K26="","",0)</f>
      </c>
      <c r="Y26" s="1">
        <f>IF($K26="","",1)</f>
      </c>
      <c r="Z26" s="1">
        <f>IF($K26="","",0)</f>
      </c>
      <c r="AA26" s="1">
        <f t="shared" si="14"/>
        <v>-0.2412499999999996</v>
      </c>
      <c r="AB26" s="1">
        <f>IF($K26="","",0)</f>
      </c>
      <c r="AC26" s="1">
        <f>IF($K26="","",0)</f>
      </c>
      <c r="AD26" s="1">
        <f>IF($K26="","",0)</f>
      </c>
      <c r="AE26" s="1">
        <f>IF($K26="","",1)</f>
      </c>
      <c r="AF26" s="1">
        <f t="shared" si="15"/>
        <v>1.1437500000000005</v>
      </c>
    </row>
    <row r="27" spans="1:32" ht="12.75">
      <c r="A27" s="25"/>
      <c r="B27" s="33"/>
      <c r="C27" s="9"/>
      <c r="D27" s="9"/>
      <c r="E27" s="9"/>
      <c r="F27" s="9"/>
      <c r="G27" s="1">
        <f t="shared" si="5"/>
        <v>1</v>
      </c>
      <c r="H27" s="45">
        <f t="shared" si="0"/>
      </c>
      <c r="I27" s="11">
        <f t="shared" si="12"/>
      </c>
      <c r="J27" s="49">
        <f t="shared" si="1"/>
      </c>
      <c r="K27" s="49">
        <f t="shared" si="6"/>
      </c>
      <c r="L27" s="49">
        <f t="shared" si="17"/>
        <v>-0.6562499999999998</v>
      </c>
      <c r="M27" s="49">
        <f t="shared" si="7"/>
      </c>
      <c r="N27" s="49">
        <f t="shared" si="16"/>
        <v>8.094485294117641</v>
      </c>
      <c r="O27" s="76">
        <f t="shared" si="8"/>
      </c>
      <c r="P27" s="49">
        <f t="shared" si="18"/>
        <v>7.438235294117641</v>
      </c>
      <c r="Q27" s="32">
        <f t="shared" si="9"/>
      </c>
      <c r="R27" s="32">
        <f t="shared" si="10"/>
      </c>
      <c r="S27" s="38">
        <f t="shared" si="11"/>
      </c>
      <c r="U27" s="1">
        <f>IF($K27="","",1)</f>
      </c>
      <c r="V27" s="1">
        <f>IF($K27="","",0)</f>
      </c>
      <c r="W27" s="1">
        <f t="shared" si="13"/>
        <v>0.018750000000000266</v>
      </c>
      <c r="X27" s="1">
        <f>IF($K27="","",0)</f>
      </c>
      <c r="Y27" s="1">
        <f>IF($K27="","",0)</f>
      </c>
      <c r="Z27" s="1">
        <f>IF($K27="","",1)</f>
      </c>
      <c r="AA27" s="1">
        <f t="shared" si="14"/>
        <v>0.21875000000000036</v>
      </c>
      <c r="AB27" s="1">
        <f>IF($K27="","",1)</f>
      </c>
      <c r="AC27" s="1">
        <f>IF($K27="","",0)</f>
      </c>
      <c r="AD27" s="1">
        <f>IF($K27="","",0)</f>
      </c>
      <c r="AE27" s="1">
        <f>IF($K27="","",0)</f>
      </c>
      <c r="AF27" s="1">
        <f t="shared" si="15"/>
        <v>-0.6562499999999998</v>
      </c>
    </row>
    <row r="28" spans="1:32" ht="12.75">
      <c r="A28" s="25"/>
      <c r="B28" s="33"/>
      <c r="C28" s="9"/>
      <c r="D28" s="9"/>
      <c r="E28" s="9"/>
      <c r="F28" s="9"/>
      <c r="G28" s="1">
        <f t="shared" si="5"/>
        <v>1</v>
      </c>
      <c r="H28" s="45">
        <f t="shared" si="0"/>
      </c>
      <c r="I28" s="11">
        <f t="shared" si="12"/>
      </c>
      <c r="J28" s="49">
        <f t="shared" si="1"/>
      </c>
      <c r="K28" s="49">
        <f t="shared" si="6"/>
      </c>
      <c r="L28" s="49">
        <f t="shared" si="17"/>
        <v>-1.1812499999999997</v>
      </c>
      <c r="M28" s="49">
        <f t="shared" si="7"/>
      </c>
      <c r="N28" s="49">
        <f t="shared" si="16"/>
        <v>8.231544117647053</v>
      </c>
      <c r="O28" s="76">
        <f t="shared" si="8"/>
      </c>
      <c r="P28" s="49">
        <f t="shared" si="18"/>
        <v>7.050294117647053</v>
      </c>
      <c r="Q28" s="32">
        <f t="shared" si="9"/>
      </c>
      <c r="R28" s="32">
        <f t="shared" si="10"/>
      </c>
      <c r="S28" s="38">
        <f t="shared" si="11"/>
      </c>
      <c r="U28" s="1">
        <f>IF($K28="","",0)</f>
      </c>
      <c r="V28" s="1">
        <f>IF($K28="","",1)</f>
      </c>
      <c r="W28" s="1">
        <f t="shared" si="13"/>
        <v>-0.0187499999999996</v>
      </c>
      <c r="X28" s="1">
        <f>IF($K28="","",1)</f>
      </c>
      <c r="Y28" s="1">
        <f>IF($K28="","",0)</f>
      </c>
      <c r="Z28" s="1">
        <f>IF($K28="","",0)</f>
      </c>
      <c r="AA28" s="1">
        <f t="shared" si="14"/>
        <v>0.018750000000000266</v>
      </c>
      <c r="AB28" s="1">
        <f>IF($K28="","",0)</f>
      </c>
      <c r="AC28" s="1">
        <f>IF($K28="","",1)</f>
      </c>
      <c r="AD28" s="1">
        <f>IF($K28="","",0)</f>
      </c>
      <c r="AE28" s="1">
        <f>IF($K28="","",0)</f>
      </c>
      <c r="AF28" s="1">
        <f t="shared" si="15"/>
        <v>-1.1812499999999997</v>
      </c>
    </row>
    <row r="29" spans="1:32" ht="12.75">
      <c r="A29" s="25"/>
      <c r="B29" s="33"/>
      <c r="C29" s="9"/>
      <c r="D29" s="9"/>
      <c r="E29" s="9"/>
      <c r="F29" s="9"/>
      <c r="G29" s="1">
        <f t="shared" si="5"/>
        <v>1</v>
      </c>
      <c r="H29" s="45">
        <f t="shared" si="0"/>
      </c>
      <c r="I29" s="11">
        <f t="shared" si="12"/>
      </c>
      <c r="J29" s="49">
        <f t="shared" si="1"/>
      </c>
      <c r="K29" s="49">
        <f t="shared" si="6"/>
      </c>
      <c r="L29" s="49">
        <f t="shared" si="17"/>
        <v>0.6937500000000003</v>
      </c>
      <c r="M29" s="49">
        <f t="shared" si="7"/>
      </c>
      <c r="N29" s="49">
        <f t="shared" si="16"/>
        <v>8.368602941176464</v>
      </c>
      <c r="O29" s="76">
        <f t="shared" si="8"/>
      </c>
      <c r="P29" s="49">
        <f t="shared" si="18"/>
        <v>9.062352941176464</v>
      </c>
      <c r="Q29" s="32">
        <f t="shared" si="9"/>
      </c>
      <c r="R29" s="32">
        <f t="shared" si="10"/>
      </c>
      <c r="S29" s="38">
        <f t="shared" si="11"/>
      </c>
      <c r="U29" s="1">
        <f>IF($K29="","",1)</f>
      </c>
      <c r="V29" s="1">
        <f>IF($K29="","",0)</f>
      </c>
      <c r="W29" s="1">
        <f t="shared" si="13"/>
        <v>0.018750000000000266</v>
      </c>
      <c r="X29" s="1">
        <f>IF($K29="","",0)</f>
      </c>
      <c r="Y29" s="1">
        <f>IF($K29="","",1)</f>
      </c>
      <c r="Z29" s="1">
        <f>IF($K29="","",0)</f>
      </c>
      <c r="AA29" s="1">
        <f t="shared" si="14"/>
        <v>-0.2412499999999996</v>
      </c>
      <c r="AB29" s="1">
        <f>IF($K29="","",0)</f>
      </c>
      <c r="AC29" s="1">
        <f>IF($K29="","",0)</f>
      </c>
      <c r="AD29" s="1">
        <f>IF($K29="","",1)</f>
      </c>
      <c r="AE29" s="1">
        <f>IF($K29="","",0)</f>
      </c>
      <c r="AF29" s="1">
        <f t="shared" si="15"/>
        <v>0.6937500000000003</v>
      </c>
    </row>
    <row r="30" spans="1:32" ht="13.5" thickBot="1">
      <c r="A30" s="26"/>
      <c r="B30" s="52"/>
      <c r="C30" s="9"/>
      <c r="D30" s="9"/>
      <c r="E30" s="9"/>
      <c r="F30" s="9"/>
      <c r="G30" s="1">
        <f>IF(ISBLANK(B30),IF(P30="",0,1),0)</f>
        <v>1</v>
      </c>
      <c r="H30" s="45">
        <f>IF(ISBLANK(A30),"",A30)</f>
      </c>
      <c r="I30" s="11">
        <f t="shared" si="12"/>
      </c>
      <c r="J30" s="49">
        <f t="shared" si="1"/>
      </c>
      <c r="K30" s="49">
        <f>IF(ISBLANK(B30),"",B30-J30)</f>
      </c>
      <c r="L30" s="49">
        <f t="shared" si="17"/>
        <v>1.1437500000000005</v>
      </c>
      <c r="M30" s="49">
        <f>IF(ISBLANK($B30),"",$B30-L30)</f>
      </c>
      <c r="N30" s="49">
        <f t="shared" si="16"/>
        <v>8.505661764705875</v>
      </c>
      <c r="O30" s="76">
        <f t="shared" si="8"/>
      </c>
      <c r="P30" s="49">
        <f t="shared" si="18"/>
        <v>9.649411764705876</v>
      </c>
      <c r="Q30" s="32">
        <f>IF(ISBLANK(B30),"",IF(P30="","",B30-P30))</f>
      </c>
      <c r="R30" s="32">
        <f>IF(Q30="","",ABS(Q30))</f>
      </c>
      <c r="S30" s="38">
        <f>IF(Q30="","",Q30^2)</f>
      </c>
      <c r="U30" s="1">
        <f>IF($K30="","",0)</f>
      </c>
      <c r="V30" s="1">
        <f>IF($K30="","",1)</f>
      </c>
      <c r="W30" s="1">
        <f t="shared" si="13"/>
        <v>-0.0187499999999996</v>
      </c>
      <c r="X30" s="1">
        <f>IF($K30="","",1)</f>
      </c>
      <c r="Y30" s="1">
        <f>IF($K30="","",0)</f>
      </c>
      <c r="Z30" s="1">
        <f>IF($K30="","",0)</f>
      </c>
      <c r="AA30" s="1">
        <f t="shared" si="14"/>
        <v>0.21875000000000036</v>
      </c>
      <c r="AB30" s="1">
        <f>IF($K30="","",0)</f>
      </c>
      <c r="AC30" s="1">
        <f>IF($K30="","",0)</f>
      </c>
      <c r="AD30" s="1">
        <f>IF($K30="","",0)</f>
      </c>
      <c r="AE30" s="1">
        <f>IF($K30="","",1)</f>
      </c>
      <c r="AF30" s="1">
        <f t="shared" si="15"/>
        <v>1.1437500000000005</v>
      </c>
    </row>
    <row r="31" spans="1:32" ht="12.75">
      <c r="A31" s="14"/>
      <c r="B31" s="15"/>
      <c r="C31" s="9"/>
      <c r="D31" s="9"/>
      <c r="E31" s="9"/>
      <c r="F31" s="9"/>
      <c r="G31" s="1">
        <f>IF(ISBLANK(B31),IF(P31="",0,1),0)</f>
        <v>1</v>
      </c>
      <c r="H31" s="45"/>
      <c r="I31" s="11">
        <f t="shared" si="12"/>
      </c>
      <c r="J31" s="11"/>
      <c r="K31" s="11"/>
      <c r="L31" s="49">
        <f>IF($B$3=2,W31,IF($B$3=3,AA31,IF($B$3=4,AF31,"")))</f>
        <v>-0.6562499999999998</v>
      </c>
      <c r="M31" s="11"/>
      <c r="N31" s="49">
        <f t="shared" si="16"/>
        <v>8.642720588235287</v>
      </c>
      <c r="O31" s="49"/>
      <c r="P31" s="49">
        <f>N31+L31</f>
        <v>7.986470588235287</v>
      </c>
      <c r="Q31" s="32"/>
      <c r="R31" s="32"/>
      <c r="S31" s="38"/>
      <c r="W31" s="1">
        <f t="shared" si="13"/>
        <v>0.018750000000000266</v>
      </c>
      <c r="AA31" s="1">
        <f t="shared" si="14"/>
        <v>0.018750000000000266</v>
      </c>
      <c r="AF31" s="1">
        <f t="shared" si="15"/>
        <v>-0.6562499999999998</v>
      </c>
    </row>
    <row r="32" spans="3:19" ht="12.75">
      <c r="C32" s="9"/>
      <c r="D32" s="9"/>
      <c r="E32" s="9"/>
      <c r="F32" s="9"/>
      <c r="H32" s="45"/>
      <c r="I32" s="11"/>
      <c r="J32" s="11"/>
      <c r="K32" s="11"/>
      <c r="L32" s="11"/>
      <c r="M32" s="11"/>
      <c r="N32" s="11"/>
      <c r="O32" s="11"/>
      <c r="P32" s="35" t="s">
        <v>15</v>
      </c>
      <c r="Q32" s="32">
        <f>SUM(Q7:Q30)</f>
        <v>-0.10294117647054613</v>
      </c>
      <c r="R32" s="32">
        <f>SUM(R7:R30)</f>
        <v>2.932352941176463</v>
      </c>
      <c r="S32" s="38">
        <f>SUM(S7:S30)</f>
        <v>0.9049619377162631</v>
      </c>
    </row>
    <row r="33" spans="3:19" ht="12.75">
      <c r="C33" s="9"/>
      <c r="D33" s="9"/>
      <c r="E33" s="9"/>
      <c r="F33" s="9"/>
      <c r="H33" s="45"/>
      <c r="I33" s="11"/>
      <c r="J33" s="11"/>
      <c r="K33" s="11"/>
      <c r="L33" s="11"/>
      <c r="M33" s="11"/>
      <c r="N33" s="11"/>
      <c r="O33" s="11"/>
      <c r="P33" s="35" t="s">
        <v>16</v>
      </c>
      <c r="Q33" s="32">
        <f>AVERAGE(Q7:Q30)</f>
        <v>-0.006862745098036408</v>
      </c>
      <c r="R33" s="32">
        <f>AVERAGE(R7:R30)</f>
        <v>0.19549019607843085</v>
      </c>
      <c r="S33" s="38">
        <f>AVERAGE(S7:S30)</f>
        <v>0.060330795847750876</v>
      </c>
    </row>
    <row r="34" spans="3:19" ht="13.5" thickBot="1">
      <c r="C34" s="9"/>
      <c r="D34" s="9"/>
      <c r="E34" s="9"/>
      <c r="F34" s="9"/>
      <c r="H34" s="46"/>
      <c r="I34" s="39"/>
      <c r="J34" s="39"/>
      <c r="K34" s="39"/>
      <c r="L34" s="39"/>
      <c r="M34" s="39"/>
      <c r="N34" s="39"/>
      <c r="O34" s="39"/>
      <c r="P34" s="39"/>
      <c r="Q34" s="40" t="s">
        <v>17</v>
      </c>
      <c r="R34" s="40" t="s">
        <v>18</v>
      </c>
      <c r="S34" s="41" t="s">
        <v>19</v>
      </c>
    </row>
    <row r="35" spans="8:19" ht="12.75">
      <c r="H35" s="12"/>
      <c r="I35" s="12"/>
      <c r="J35" s="12" t="s">
        <v>54</v>
      </c>
      <c r="K35" s="12">
        <f>SLOPE(M7:M30,I7:I30)</f>
        <v>0.1370588235294118</v>
      </c>
      <c r="L35" s="12" t="s">
        <v>55</v>
      </c>
      <c r="M35" s="12">
        <f>INTERCEPT(M7:M30,I7:I30)</f>
        <v>5.21625</v>
      </c>
      <c r="N35" s="12"/>
      <c r="O35" s="12"/>
      <c r="P35" s="12"/>
      <c r="Q35" s="12"/>
      <c r="R35" s="42" t="s">
        <v>20</v>
      </c>
      <c r="S35" s="28">
        <f>SQRT(S32/(COUNT(S7:S30)-2))</f>
        <v>0.26384172669880107</v>
      </c>
    </row>
    <row r="36" ht="12.75">
      <c r="S36" s="1">
        <f>IF(COUNT(S7:S30)-2&lt;1,"Not enough data to compute the standard error","")</f>
      </c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B3">
      <formula1>$G$1:$G$3</formula1>
    </dataValidation>
  </dataValidations>
  <printOptions/>
  <pageMargins left="0.25" right="0.25" top="0.5" bottom="0.5" header="0" footer="0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N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3" width="13.57421875" style="1" customWidth="1"/>
    <col min="4" max="4" width="7.00390625" style="1" customWidth="1"/>
    <col min="5" max="5" width="30.28125" style="1" customWidth="1"/>
    <col min="6" max="6" width="26.57421875" style="1" customWidth="1"/>
    <col min="7" max="7" width="33.140625" style="1" customWidth="1"/>
    <col min="8" max="8" width="8.00390625" style="1" bestFit="1" customWidth="1"/>
    <col min="9" max="10" width="8.00390625" style="1" customWidth="1"/>
    <col min="11" max="11" width="13.421875" style="1" bestFit="1" customWidth="1"/>
    <col min="12" max="13" width="15.00390625" style="1" customWidth="1"/>
    <col min="14" max="14" width="17.7109375" style="1" bestFit="1" customWidth="1"/>
    <col min="15" max="16384" width="9.140625" style="1" customWidth="1"/>
  </cols>
  <sheetData>
    <row r="1" spans="1:5" ht="18">
      <c r="A1" s="8" t="s">
        <v>73</v>
      </c>
      <c r="B1" s="8"/>
      <c r="C1" s="9"/>
      <c r="D1" s="9"/>
      <c r="E1" s="9"/>
    </row>
    <row r="2" ht="12.75"/>
    <row r="3" spans="1:11" ht="13.5" thickBot="1">
      <c r="A3" s="13" t="s">
        <v>2</v>
      </c>
      <c r="B3" s="80" t="s">
        <v>76</v>
      </c>
      <c r="C3" s="80" t="s">
        <v>77</v>
      </c>
      <c r="K3" s="10" t="s">
        <v>3</v>
      </c>
    </row>
    <row r="4" spans="1:14" ht="12.75">
      <c r="A4" s="18" t="s">
        <v>56</v>
      </c>
      <c r="B4" s="78" t="s">
        <v>76</v>
      </c>
      <c r="C4" s="79" t="s">
        <v>77</v>
      </c>
      <c r="E4" s="53" t="s">
        <v>11</v>
      </c>
      <c r="F4" s="62">
        <f>L107</f>
        <v>0</v>
      </c>
      <c r="H4" s="44" t="s">
        <v>4</v>
      </c>
      <c r="I4" s="36" t="str">
        <f>B4</f>
        <v>X-data</v>
      </c>
      <c r="J4" s="36" t="str">
        <f>C4</f>
        <v>Y-data</v>
      </c>
      <c r="K4" s="36" t="s">
        <v>7</v>
      </c>
      <c r="L4" s="36" t="s">
        <v>8</v>
      </c>
      <c r="M4" s="36" t="s">
        <v>9</v>
      </c>
      <c r="N4" s="23" t="s">
        <v>10</v>
      </c>
    </row>
    <row r="5" spans="1:14" ht="12.75">
      <c r="A5" s="58" t="s">
        <v>63</v>
      </c>
      <c r="B5" s="56">
        <v>2</v>
      </c>
      <c r="C5" s="60">
        <v>58</v>
      </c>
      <c r="E5" s="6" t="s">
        <v>12</v>
      </c>
      <c r="F5" s="30">
        <f>M107</f>
        <v>10.8</v>
      </c>
      <c r="H5" s="45" t="str">
        <f aca="true" t="shared" si="0" ref="H5:H36">IF(ISBLANK(A5),"",A5)</f>
        <v>Obs 1</v>
      </c>
      <c r="I5" s="11">
        <f>IF(ISBLANK(B5),"",B5)</f>
        <v>2</v>
      </c>
      <c r="J5" s="11">
        <f>IF(ISBLANK(C5),"",C5)</f>
        <v>58</v>
      </c>
      <c r="K5" s="11">
        <f aca="true" t="shared" si="1" ref="K5:K36">IF(ISBLANK(C5),"",$F$13+B5*$F$12)</f>
        <v>70</v>
      </c>
      <c r="L5" s="32">
        <f aca="true" t="shared" si="2" ref="L5:L36">IF(ISBLANK(C5),"",IF(K5="","",C5-K5))</f>
        <v>-12</v>
      </c>
      <c r="M5" s="32">
        <f aca="true" t="shared" si="3" ref="M5:M36">IF(L5="","",ABS(L5))</f>
        <v>12</v>
      </c>
      <c r="N5" s="38">
        <f aca="true" t="shared" si="4" ref="N5:N36">IF(L5="","",L5^2)</f>
        <v>144</v>
      </c>
    </row>
    <row r="6" spans="1:14" ht="12.75">
      <c r="A6" s="58" t="s">
        <v>64</v>
      </c>
      <c r="B6" s="56">
        <v>6</v>
      </c>
      <c r="C6" s="60">
        <v>105</v>
      </c>
      <c r="E6" s="6" t="s">
        <v>13</v>
      </c>
      <c r="F6" s="30">
        <f>N107</f>
        <v>153</v>
      </c>
      <c r="H6" s="45" t="str">
        <f t="shared" si="0"/>
        <v>Obs 2</v>
      </c>
      <c r="I6" s="11">
        <f aca="true" t="shared" si="5" ref="I6:I69">IF(ISBLANK(B6),"",B6)</f>
        <v>6</v>
      </c>
      <c r="J6" s="11">
        <f aca="true" t="shared" si="6" ref="J6:J69">IF(ISBLANK(C6),"",C6)</f>
        <v>105</v>
      </c>
      <c r="K6" s="11">
        <f t="shared" si="1"/>
        <v>90</v>
      </c>
      <c r="L6" s="32">
        <f t="shared" si="2"/>
        <v>15</v>
      </c>
      <c r="M6" s="32">
        <f t="shared" si="3"/>
        <v>15</v>
      </c>
      <c r="N6" s="38">
        <f t="shared" si="4"/>
        <v>225</v>
      </c>
    </row>
    <row r="7" spans="1:14" ht="13.5" thickBot="1">
      <c r="A7" s="58" t="s">
        <v>65</v>
      </c>
      <c r="B7" s="56">
        <v>8</v>
      </c>
      <c r="C7" s="60">
        <v>88</v>
      </c>
      <c r="E7" s="7" t="s">
        <v>14</v>
      </c>
      <c r="F7" s="31">
        <f>N109</f>
        <v>13.82931668593933</v>
      </c>
      <c r="H7" s="45" t="str">
        <f t="shared" si="0"/>
        <v>Obs 3</v>
      </c>
      <c r="I7" s="11">
        <f t="shared" si="5"/>
        <v>8</v>
      </c>
      <c r="J7" s="11">
        <f t="shared" si="6"/>
        <v>88</v>
      </c>
      <c r="K7" s="11">
        <f t="shared" si="1"/>
        <v>100</v>
      </c>
      <c r="L7" s="32">
        <f t="shared" si="2"/>
        <v>-12</v>
      </c>
      <c r="M7" s="32">
        <f t="shared" si="3"/>
        <v>12</v>
      </c>
      <c r="N7" s="38">
        <f t="shared" si="4"/>
        <v>144</v>
      </c>
    </row>
    <row r="8" spans="1:14" ht="12.75">
      <c r="A8" s="58" t="s">
        <v>66</v>
      </c>
      <c r="B8" s="56">
        <v>8</v>
      </c>
      <c r="C8" s="60">
        <v>118</v>
      </c>
      <c r="H8" s="45" t="str">
        <f t="shared" si="0"/>
        <v>Obs 4</v>
      </c>
      <c r="I8" s="11">
        <f t="shared" si="5"/>
        <v>8</v>
      </c>
      <c r="J8" s="11">
        <f t="shared" si="6"/>
        <v>118</v>
      </c>
      <c r="K8" s="11">
        <f t="shared" si="1"/>
        <v>100</v>
      </c>
      <c r="L8" s="32">
        <f t="shared" si="2"/>
        <v>18</v>
      </c>
      <c r="M8" s="32">
        <f t="shared" si="3"/>
        <v>18</v>
      </c>
      <c r="N8" s="38">
        <f t="shared" si="4"/>
        <v>324</v>
      </c>
    </row>
    <row r="9" spans="1:14" ht="13.5" thickBot="1">
      <c r="A9" s="58" t="s">
        <v>67</v>
      </c>
      <c r="B9" s="56">
        <v>12</v>
      </c>
      <c r="C9" s="60">
        <v>117</v>
      </c>
      <c r="E9" s="67" t="s">
        <v>116</v>
      </c>
      <c r="H9" s="45" t="str">
        <f t="shared" si="0"/>
        <v>Obs 5</v>
      </c>
      <c r="I9" s="11">
        <f t="shared" si="5"/>
        <v>12</v>
      </c>
      <c r="J9" s="11">
        <f t="shared" si="6"/>
        <v>117</v>
      </c>
      <c r="K9" s="11">
        <f t="shared" si="1"/>
        <v>120</v>
      </c>
      <c r="L9" s="32">
        <f t="shared" si="2"/>
        <v>-3</v>
      </c>
      <c r="M9" s="32">
        <f t="shared" si="3"/>
        <v>3</v>
      </c>
      <c r="N9" s="38">
        <f t="shared" si="4"/>
        <v>9</v>
      </c>
    </row>
    <row r="10" spans="1:14" ht="12.75">
      <c r="A10" s="58" t="s">
        <v>68</v>
      </c>
      <c r="B10" s="56">
        <v>16</v>
      </c>
      <c r="C10" s="60">
        <v>137</v>
      </c>
      <c r="E10" s="53" t="s">
        <v>59</v>
      </c>
      <c r="F10" s="54">
        <f>CORREL(C5:C104,B5:B104)</f>
        <v>0.9501229552044079</v>
      </c>
      <c r="H10" s="45" t="str">
        <f t="shared" si="0"/>
        <v>Obs 6</v>
      </c>
      <c r="I10" s="11">
        <f t="shared" si="5"/>
        <v>16</v>
      </c>
      <c r="J10" s="11">
        <f t="shared" si="6"/>
        <v>137</v>
      </c>
      <c r="K10" s="11">
        <f t="shared" si="1"/>
        <v>140</v>
      </c>
      <c r="L10" s="32">
        <f t="shared" si="2"/>
        <v>-3</v>
      </c>
      <c r="M10" s="32">
        <f t="shared" si="3"/>
        <v>3</v>
      </c>
      <c r="N10" s="38">
        <f t="shared" si="4"/>
        <v>9</v>
      </c>
    </row>
    <row r="11" spans="1:14" ht="12.75">
      <c r="A11" s="58" t="s">
        <v>69</v>
      </c>
      <c r="B11" s="56">
        <v>20</v>
      </c>
      <c r="C11" s="60">
        <v>157</v>
      </c>
      <c r="E11" s="6" t="s">
        <v>60</v>
      </c>
      <c r="F11" s="74">
        <f>F10*F10</f>
        <v>0.9027336300063573</v>
      </c>
      <c r="H11" s="45" t="str">
        <f t="shared" si="0"/>
        <v>Obs 7</v>
      </c>
      <c r="I11" s="11">
        <f t="shared" si="5"/>
        <v>20</v>
      </c>
      <c r="J11" s="11">
        <f t="shared" si="6"/>
        <v>157</v>
      </c>
      <c r="K11" s="11">
        <f t="shared" si="1"/>
        <v>160</v>
      </c>
      <c r="L11" s="32">
        <f t="shared" si="2"/>
        <v>-3</v>
      </c>
      <c r="M11" s="32">
        <f t="shared" si="3"/>
        <v>3</v>
      </c>
      <c r="N11" s="38">
        <f t="shared" si="4"/>
        <v>9</v>
      </c>
    </row>
    <row r="12" spans="1:14" ht="12.75">
      <c r="A12" s="58" t="s">
        <v>70</v>
      </c>
      <c r="B12" s="56">
        <v>20</v>
      </c>
      <c r="C12" s="60">
        <v>169</v>
      </c>
      <c r="E12" s="75" t="s">
        <v>26</v>
      </c>
      <c r="F12" s="74">
        <f>F10*STDEV(C5:C104)/STDEV(B5:B104)</f>
        <v>5</v>
      </c>
      <c r="H12" s="45" t="str">
        <f t="shared" si="0"/>
        <v>Obs 8</v>
      </c>
      <c r="I12" s="11">
        <f t="shared" si="5"/>
        <v>20</v>
      </c>
      <c r="J12" s="11">
        <f t="shared" si="6"/>
        <v>169</v>
      </c>
      <c r="K12" s="11">
        <f t="shared" si="1"/>
        <v>160</v>
      </c>
      <c r="L12" s="32">
        <f t="shared" si="2"/>
        <v>9</v>
      </c>
      <c r="M12" s="32">
        <f t="shared" si="3"/>
        <v>9</v>
      </c>
      <c r="N12" s="38">
        <f t="shared" si="4"/>
        <v>81</v>
      </c>
    </row>
    <row r="13" spans="1:14" ht="12.75">
      <c r="A13" s="58" t="s">
        <v>71</v>
      </c>
      <c r="B13" s="56">
        <v>22</v>
      </c>
      <c r="C13" s="60">
        <v>149</v>
      </c>
      <c r="E13" s="75" t="s">
        <v>25</v>
      </c>
      <c r="F13" s="74">
        <f>ROUND(AVERAGE(C5:C104)-F12*AVERAGE(B5:B104),3)</f>
        <v>60</v>
      </c>
      <c r="H13" s="45" t="str">
        <f t="shared" si="0"/>
        <v>Obs 9</v>
      </c>
      <c r="I13" s="11">
        <f t="shared" si="5"/>
        <v>22</v>
      </c>
      <c r="J13" s="11">
        <f t="shared" si="6"/>
        <v>149</v>
      </c>
      <c r="K13" s="11">
        <f t="shared" si="1"/>
        <v>170</v>
      </c>
      <c r="L13" s="32">
        <f t="shared" si="2"/>
        <v>-21</v>
      </c>
      <c r="M13" s="32">
        <f t="shared" si="3"/>
        <v>21</v>
      </c>
      <c r="N13" s="38">
        <f t="shared" si="4"/>
        <v>441</v>
      </c>
    </row>
    <row r="14" spans="1:14" ht="13.5" thickBot="1">
      <c r="A14" s="58" t="s">
        <v>72</v>
      </c>
      <c r="B14" s="56">
        <v>26</v>
      </c>
      <c r="C14" s="60">
        <v>202</v>
      </c>
      <c r="E14" s="72" t="s">
        <v>62</v>
      </c>
      <c r="F14" s="55" t="str">
        <f>"Y = "&amp;ROUND(F12,3)&amp;" X + "&amp;ROUND(F13,3)</f>
        <v>Y = 5 X + 60</v>
      </c>
      <c r="H14" s="45" t="str">
        <f t="shared" si="0"/>
        <v>Obs 10</v>
      </c>
      <c r="I14" s="11">
        <f t="shared" si="5"/>
        <v>26</v>
      </c>
      <c r="J14" s="11">
        <f t="shared" si="6"/>
        <v>202</v>
      </c>
      <c r="K14" s="11">
        <f t="shared" si="1"/>
        <v>190</v>
      </c>
      <c r="L14" s="32">
        <f t="shared" si="2"/>
        <v>12</v>
      </c>
      <c r="M14" s="32">
        <f t="shared" si="3"/>
        <v>12</v>
      </c>
      <c r="N14" s="38">
        <f t="shared" si="4"/>
        <v>144</v>
      </c>
    </row>
    <row r="15" spans="1:14" ht="12.75">
      <c r="A15" s="58"/>
      <c r="B15" s="56"/>
      <c r="C15" s="60"/>
      <c r="H15" s="45">
        <f t="shared" si="0"/>
      </c>
      <c r="I15" s="11">
        <f t="shared" si="5"/>
      </c>
      <c r="J15" s="11">
        <f t="shared" si="6"/>
      </c>
      <c r="K15" s="11">
        <f t="shared" si="1"/>
      </c>
      <c r="L15" s="32">
        <f t="shared" si="2"/>
      </c>
      <c r="M15" s="32">
        <f t="shared" si="3"/>
      </c>
      <c r="N15" s="38">
        <f t="shared" si="4"/>
      </c>
    </row>
    <row r="16" spans="1:14" ht="13.5" thickBot="1">
      <c r="A16" s="58"/>
      <c r="B16" s="56"/>
      <c r="C16" s="60"/>
      <c r="E16" s="67" t="s">
        <v>74</v>
      </c>
      <c r="H16" s="45">
        <f t="shared" si="0"/>
      </c>
      <c r="I16" s="11">
        <f t="shared" si="5"/>
      </c>
      <c r="J16" s="11">
        <f t="shared" si="6"/>
      </c>
      <c r="K16" s="11">
        <f t="shared" si="1"/>
      </c>
      <c r="L16" s="32">
        <f t="shared" si="2"/>
      </c>
      <c r="M16" s="32">
        <f t="shared" si="3"/>
      </c>
      <c r="N16" s="38">
        <f t="shared" si="4"/>
      </c>
    </row>
    <row r="17" spans="1:14" ht="12.75">
      <c r="A17" s="58"/>
      <c r="B17" s="56"/>
      <c r="C17" s="60"/>
      <c r="E17" s="66" t="s">
        <v>75</v>
      </c>
      <c r="F17" s="63">
        <v>18</v>
      </c>
      <c r="H17" s="45">
        <f t="shared" si="0"/>
      </c>
      <c r="I17" s="11">
        <f t="shared" si="5"/>
      </c>
      <c r="J17" s="11">
        <f t="shared" si="6"/>
      </c>
      <c r="K17" s="11">
        <f t="shared" si="1"/>
      </c>
      <c r="L17" s="32">
        <f t="shared" si="2"/>
      </c>
      <c r="M17" s="32">
        <f t="shared" si="3"/>
      </c>
      <c r="N17" s="38">
        <f t="shared" si="4"/>
      </c>
    </row>
    <row r="18" spans="1:14" ht="13.5" thickBot="1">
      <c r="A18" s="58"/>
      <c r="B18" s="56"/>
      <c r="C18" s="60"/>
      <c r="E18" s="64" t="s">
        <v>57</v>
      </c>
      <c r="F18" s="65">
        <f>F13+F17*F12</f>
        <v>150</v>
      </c>
      <c r="H18" s="45">
        <f t="shared" si="0"/>
      </c>
      <c r="I18" s="11">
        <f t="shared" si="5"/>
      </c>
      <c r="J18" s="11">
        <f t="shared" si="6"/>
      </c>
      <c r="K18" s="11">
        <f t="shared" si="1"/>
      </c>
      <c r="L18" s="32">
        <f t="shared" si="2"/>
      </c>
      <c r="M18" s="32">
        <f t="shared" si="3"/>
      </c>
      <c r="N18" s="38">
        <f t="shared" si="4"/>
      </c>
    </row>
    <row r="19" spans="1:14" ht="12.75">
      <c r="A19" s="58"/>
      <c r="B19" s="56"/>
      <c r="C19" s="60"/>
      <c r="D19" s="9"/>
      <c r="E19" s="9"/>
      <c r="F19" s="9"/>
      <c r="G19" s="9"/>
      <c r="H19" s="45">
        <f t="shared" si="0"/>
      </c>
      <c r="I19" s="11">
        <f t="shared" si="5"/>
      </c>
      <c r="J19" s="11">
        <f t="shared" si="6"/>
      </c>
      <c r="K19" s="11">
        <f t="shared" si="1"/>
      </c>
      <c r="L19" s="32">
        <f t="shared" si="2"/>
      </c>
      <c r="M19" s="32">
        <f t="shared" si="3"/>
      </c>
      <c r="N19" s="38">
        <f t="shared" si="4"/>
      </c>
    </row>
    <row r="20" spans="1:14" ht="12.75">
      <c r="A20" s="58"/>
      <c r="B20" s="56"/>
      <c r="C20" s="60"/>
      <c r="D20" s="9"/>
      <c r="E20" s="9"/>
      <c r="F20" s="9"/>
      <c r="G20" s="9"/>
      <c r="H20" s="45">
        <f t="shared" si="0"/>
      </c>
      <c r="I20" s="11">
        <f t="shared" si="5"/>
      </c>
      <c r="J20" s="11">
        <f t="shared" si="6"/>
      </c>
      <c r="K20" s="11">
        <f t="shared" si="1"/>
      </c>
      <c r="L20" s="32">
        <f t="shared" si="2"/>
      </c>
      <c r="M20" s="32">
        <f t="shared" si="3"/>
      </c>
      <c r="N20" s="38">
        <f t="shared" si="4"/>
      </c>
    </row>
    <row r="21" spans="1:14" ht="12.75">
      <c r="A21" s="58"/>
      <c r="B21" s="56"/>
      <c r="C21" s="60"/>
      <c r="D21" s="9"/>
      <c r="E21" s="9"/>
      <c r="F21" s="9"/>
      <c r="G21" s="9"/>
      <c r="H21" s="45">
        <f t="shared" si="0"/>
      </c>
      <c r="I21" s="11">
        <f t="shared" si="5"/>
      </c>
      <c r="J21" s="11">
        <f t="shared" si="6"/>
      </c>
      <c r="K21" s="11">
        <f t="shared" si="1"/>
      </c>
      <c r="L21" s="32">
        <f t="shared" si="2"/>
      </c>
      <c r="M21" s="32">
        <f t="shared" si="3"/>
      </c>
      <c r="N21" s="38">
        <f t="shared" si="4"/>
      </c>
    </row>
    <row r="22" spans="1:14" ht="12.75">
      <c r="A22" s="58"/>
      <c r="B22" s="56"/>
      <c r="C22" s="60"/>
      <c r="D22" s="9"/>
      <c r="E22" s="9"/>
      <c r="F22" s="9"/>
      <c r="G22" s="9"/>
      <c r="H22" s="45">
        <f t="shared" si="0"/>
      </c>
      <c r="I22" s="11">
        <f t="shared" si="5"/>
      </c>
      <c r="J22" s="11">
        <f t="shared" si="6"/>
      </c>
      <c r="K22" s="11">
        <f t="shared" si="1"/>
      </c>
      <c r="L22" s="32">
        <f t="shared" si="2"/>
      </c>
      <c r="M22" s="32">
        <f t="shared" si="3"/>
      </c>
      <c r="N22" s="38">
        <f t="shared" si="4"/>
      </c>
    </row>
    <row r="23" spans="1:14" ht="12.75">
      <c r="A23" s="58"/>
      <c r="B23" s="56"/>
      <c r="C23" s="60"/>
      <c r="D23" s="9"/>
      <c r="E23" s="9"/>
      <c r="F23" s="9"/>
      <c r="G23" s="9"/>
      <c r="H23" s="45">
        <f t="shared" si="0"/>
      </c>
      <c r="I23" s="11">
        <f t="shared" si="5"/>
      </c>
      <c r="J23" s="11">
        <f t="shared" si="6"/>
      </c>
      <c r="K23" s="11">
        <f t="shared" si="1"/>
      </c>
      <c r="L23" s="32">
        <f t="shared" si="2"/>
      </c>
      <c r="M23" s="32">
        <f t="shared" si="3"/>
      </c>
      <c r="N23" s="38">
        <f t="shared" si="4"/>
      </c>
    </row>
    <row r="24" spans="1:14" ht="12.75">
      <c r="A24" s="58"/>
      <c r="B24" s="56"/>
      <c r="C24" s="60"/>
      <c r="D24" s="9"/>
      <c r="E24" s="9"/>
      <c r="F24" s="9"/>
      <c r="G24" s="9"/>
      <c r="H24" s="45">
        <f t="shared" si="0"/>
      </c>
      <c r="I24" s="11">
        <f t="shared" si="5"/>
      </c>
      <c r="J24" s="11">
        <f t="shared" si="6"/>
      </c>
      <c r="K24" s="11">
        <f t="shared" si="1"/>
      </c>
      <c r="L24" s="32">
        <f t="shared" si="2"/>
      </c>
      <c r="M24" s="32">
        <f t="shared" si="3"/>
      </c>
      <c r="N24" s="38">
        <f t="shared" si="4"/>
      </c>
    </row>
    <row r="25" spans="1:14" ht="12.75">
      <c r="A25" s="58"/>
      <c r="B25" s="56"/>
      <c r="C25" s="60"/>
      <c r="D25" s="9"/>
      <c r="E25" s="9"/>
      <c r="F25" s="9"/>
      <c r="G25" s="9"/>
      <c r="H25" s="45">
        <f t="shared" si="0"/>
      </c>
      <c r="I25" s="11">
        <f t="shared" si="5"/>
      </c>
      <c r="J25" s="11">
        <f t="shared" si="6"/>
      </c>
      <c r="K25" s="11">
        <f t="shared" si="1"/>
      </c>
      <c r="L25" s="32">
        <f t="shared" si="2"/>
      </c>
      <c r="M25" s="32">
        <f t="shared" si="3"/>
      </c>
      <c r="N25" s="38">
        <f t="shared" si="4"/>
      </c>
    </row>
    <row r="26" spans="1:14" ht="12.75">
      <c r="A26" s="58"/>
      <c r="B26" s="56"/>
      <c r="C26" s="60"/>
      <c r="D26" s="9"/>
      <c r="E26" s="9"/>
      <c r="F26" s="9"/>
      <c r="G26" s="9"/>
      <c r="H26" s="45">
        <f t="shared" si="0"/>
      </c>
      <c r="I26" s="11">
        <f t="shared" si="5"/>
      </c>
      <c r="J26" s="11">
        <f t="shared" si="6"/>
      </c>
      <c r="K26" s="11">
        <f t="shared" si="1"/>
      </c>
      <c r="L26" s="32">
        <f t="shared" si="2"/>
      </c>
      <c r="M26" s="32">
        <f t="shared" si="3"/>
      </c>
      <c r="N26" s="38">
        <f t="shared" si="4"/>
      </c>
    </row>
    <row r="27" spans="1:14" ht="12.75">
      <c r="A27" s="58"/>
      <c r="B27" s="56"/>
      <c r="C27" s="60"/>
      <c r="D27" s="9"/>
      <c r="E27" s="9"/>
      <c r="F27" s="9"/>
      <c r="G27" s="9"/>
      <c r="H27" s="45">
        <f t="shared" si="0"/>
      </c>
      <c r="I27" s="11">
        <f t="shared" si="5"/>
      </c>
      <c r="J27" s="11">
        <f t="shared" si="6"/>
      </c>
      <c r="K27" s="11">
        <f t="shared" si="1"/>
      </c>
      <c r="L27" s="32">
        <f t="shared" si="2"/>
      </c>
      <c r="M27" s="32">
        <f t="shared" si="3"/>
      </c>
      <c r="N27" s="38">
        <f t="shared" si="4"/>
      </c>
    </row>
    <row r="28" spans="1:14" ht="12.75">
      <c r="A28" s="58"/>
      <c r="B28" s="56"/>
      <c r="C28" s="60"/>
      <c r="D28" s="9"/>
      <c r="E28" s="9"/>
      <c r="F28" s="9"/>
      <c r="G28" s="9"/>
      <c r="H28" s="45">
        <f t="shared" si="0"/>
      </c>
      <c r="I28" s="11">
        <f t="shared" si="5"/>
      </c>
      <c r="J28" s="11">
        <f t="shared" si="6"/>
      </c>
      <c r="K28" s="11">
        <f t="shared" si="1"/>
      </c>
      <c r="L28" s="32">
        <f t="shared" si="2"/>
      </c>
      <c r="M28" s="32">
        <f t="shared" si="3"/>
      </c>
      <c r="N28" s="38">
        <f t="shared" si="4"/>
      </c>
    </row>
    <row r="29" spans="1:14" ht="12.75">
      <c r="A29" s="58"/>
      <c r="B29" s="56"/>
      <c r="C29" s="60"/>
      <c r="D29" s="9"/>
      <c r="E29" s="9"/>
      <c r="F29" s="9"/>
      <c r="G29" s="9"/>
      <c r="H29" s="45">
        <f t="shared" si="0"/>
      </c>
      <c r="I29" s="11">
        <f t="shared" si="5"/>
      </c>
      <c r="J29" s="11">
        <f t="shared" si="6"/>
      </c>
      <c r="K29" s="11">
        <f t="shared" si="1"/>
      </c>
      <c r="L29" s="32">
        <f t="shared" si="2"/>
      </c>
      <c r="M29" s="32">
        <f t="shared" si="3"/>
      </c>
      <c r="N29" s="38">
        <f t="shared" si="4"/>
      </c>
    </row>
    <row r="30" spans="1:14" ht="12.75">
      <c r="A30" s="58"/>
      <c r="B30" s="56"/>
      <c r="C30" s="60"/>
      <c r="D30" s="9"/>
      <c r="E30" s="9"/>
      <c r="F30" s="9"/>
      <c r="G30" s="9"/>
      <c r="H30" s="45">
        <f t="shared" si="0"/>
      </c>
      <c r="I30" s="11">
        <f t="shared" si="5"/>
      </c>
      <c r="J30" s="11">
        <f t="shared" si="6"/>
      </c>
      <c r="K30" s="11">
        <f t="shared" si="1"/>
      </c>
      <c r="L30" s="32">
        <f t="shared" si="2"/>
      </c>
      <c r="M30" s="32">
        <f t="shared" si="3"/>
      </c>
      <c r="N30" s="38">
        <f t="shared" si="4"/>
      </c>
    </row>
    <row r="31" spans="1:14" ht="12.75">
      <c r="A31" s="58"/>
      <c r="B31" s="56"/>
      <c r="C31" s="60"/>
      <c r="D31" s="9"/>
      <c r="E31" s="9"/>
      <c r="F31" s="9"/>
      <c r="G31" s="9"/>
      <c r="H31" s="45">
        <f t="shared" si="0"/>
      </c>
      <c r="I31" s="11">
        <f t="shared" si="5"/>
      </c>
      <c r="J31" s="11">
        <f t="shared" si="6"/>
      </c>
      <c r="K31" s="11">
        <f t="shared" si="1"/>
      </c>
      <c r="L31" s="32">
        <f t="shared" si="2"/>
      </c>
      <c r="M31" s="32">
        <f t="shared" si="3"/>
      </c>
      <c r="N31" s="38">
        <f t="shared" si="4"/>
      </c>
    </row>
    <row r="32" spans="1:14" ht="12.75">
      <c r="A32" s="58"/>
      <c r="B32" s="56"/>
      <c r="C32" s="60"/>
      <c r="D32" s="9"/>
      <c r="E32" s="9"/>
      <c r="F32" s="9"/>
      <c r="G32" s="9"/>
      <c r="H32" s="45">
        <f t="shared" si="0"/>
      </c>
      <c r="I32" s="11">
        <f t="shared" si="5"/>
      </c>
      <c r="J32" s="11">
        <f t="shared" si="6"/>
      </c>
      <c r="K32" s="11">
        <f t="shared" si="1"/>
      </c>
      <c r="L32" s="32">
        <f t="shared" si="2"/>
      </c>
      <c r="M32" s="32">
        <f t="shared" si="3"/>
      </c>
      <c r="N32" s="38">
        <f t="shared" si="4"/>
      </c>
    </row>
    <row r="33" spans="1:14" ht="12.75">
      <c r="A33" s="58"/>
      <c r="B33" s="56"/>
      <c r="C33" s="60"/>
      <c r="D33" s="9"/>
      <c r="E33" s="9"/>
      <c r="F33" s="9"/>
      <c r="G33" s="9"/>
      <c r="H33" s="45">
        <f t="shared" si="0"/>
      </c>
      <c r="I33" s="11">
        <f t="shared" si="5"/>
      </c>
      <c r="J33" s="11">
        <f t="shared" si="6"/>
      </c>
      <c r="K33" s="11">
        <f t="shared" si="1"/>
      </c>
      <c r="L33" s="32">
        <f t="shared" si="2"/>
      </c>
      <c r="M33" s="32">
        <f t="shared" si="3"/>
      </c>
      <c r="N33" s="38">
        <f t="shared" si="4"/>
      </c>
    </row>
    <row r="34" spans="1:14" ht="12.75">
      <c r="A34" s="58"/>
      <c r="B34" s="56"/>
      <c r="C34" s="60"/>
      <c r="D34" s="9"/>
      <c r="E34" s="9"/>
      <c r="F34" s="9"/>
      <c r="G34" s="9"/>
      <c r="H34" s="45">
        <f t="shared" si="0"/>
      </c>
      <c r="I34" s="11">
        <f t="shared" si="5"/>
      </c>
      <c r="J34" s="11">
        <f t="shared" si="6"/>
      </c>
      <c r="K34" s="11">
        <f t="shared" si="1"/>
      </c>
      <c r="L34" s="32">
        <f t="shared" si="2"/>
      </c>
      <c r="M34" s="32">
        <f t="shared" si="3"/>
      </c>
      <c r="N34" s="38">
        <f t="shared" si="4"/>
      </c>
    </row>
    <row r="35" spans="1:14" ht="12.75">
      <c r="A35" s="58"/>
      <c r="B35" s="56"/>
      <c r="C35" s="60"/>
      <c r="D35" s="9"/>
      <c r="E35" s="9"/>
      <c r="F35" s="9"/>
      <c r="G35" s="9"/>
      <c r="H35" s="45">
        <f t="shared" si="0"/>
      </c>
      <c r="I35" s="11">
        <f t="shared" si="5"/>
      </c>
      <c r="J35" s="11">
        <f t="shared" si="6"/>
      </c>
      <c r="K35" s="11">
        <f t="shared" si="1"/>
      </c>
      <c r="L35" s="32">
        <f t="shared" si="2"/>
      </c>
      <c r="M35" s="32">
        <f t="shared" si="3"/>
      </c>
      <c r="N35" s="38">
        <f t="shared" si="4"/>
      </c>
    </row>
    <row r="36" spans="1:14" ht="12.75">
      <c r="A36" s="58"/>
      <c r="B36" s="56"/>
      <c r="C36" s="60"/>
      <c r="H36" s="45">
        <f t="shared" si="0"/>
      </c>
      <c r="I36" s="11">
        <f t="shared" si="5"/>
      </c>
      <c r="J36" s="11">
        <f t="shared" si="6"/>
      </c>
      <c r="K36" s="11">
        <f t="shared" si="1"/>
      </c>
      <c r="L36" s="32">
        <f t="shared" si="2"/>
      </c>
      <c r="M36" s="32">
        <f t="shared" si="3"/>
      </c>
      <c r="N36" s="38">
        <f t="shared" si="4"/>
      </c>
    </row>
    <row r="37" spans="1:14" ht="12.75">
      <c r="A37" s="58"/>
      <c r="B37" s="56"/>
      <c r="C37" s="60"/>
      <c r="H37" s="45">
        <f aca="true" t="shared" si="7" ref="H37:H68">IF(ISBLANK(A37),"",A37)</f>
      </c>
      <c r="I37" s="11">
        <f t="shared" si="5"/>
      </c>
      <c r="J37" s="11">
        <f t="shared" si="6"/>
      </c>
      <c r="K37" s="11">
        <f aca="true" t="shared" si="8" ref="K37:K68">IF(ISBLANK(C37),"",$F$13+B37*$F$12)</f>
      </c>
      <c r="L37" s="32">
        <f aca="true" t="shared" si="9" ref="L37:L68">IF(ISBLANK(C37),"",IF(K37="","",C37-K37))</f>
      </c>
      <c r="M37" s="32">
        <f aca="true" t="shared" si="10" ref="M37:M68">IF(L37="","",ABS(L37))</f>
      </c>
      <c r="N37" s="38">
        <f aca="true" t="shared" si="11" ref="N37:N68">IF(L37="","",L37^2)</f>
      </c>
    </row>
    <row r="38" spans="1:14" ht="12.75">
      <c r="A38" s="58"/>
      <c r="B38" s="56"/>
      <c r="C38" s="60"/>
      <c r="H38" s="45">
        <f t="shared" si="7"/>
      </c>
      <c r="I38" s="11">
        <f t="shared" si="5"/>
      </c>
      <c r="J38" s="11">
        <f t="shared" si="6"/>
      </c>
      <c r="K38" s="11">
        <f t="shared" si="8"/>
      </c>
      <c r="L38" s="32">
        <f t="shared" si="9"/>
      </c>
      <c r="M38" s="32">
        <f t="shared" si="10"/>
      </c>
      <c r="N38" s="38">
        <f t="shared" si="11"/>
      </c>
    </row>
    <row r="39" spans="1:14" ht="12.75">
      <c r="A39" s="58"/>
      <c r="B39" s="56"/>
      <c r="C39" s="60"/>
      <c r="H39" s="45">
        <f t="shared" si="7"/>
      </c>
      <c r="I39" s="11">
        <f t="shared" si="5"/>
      </c>
      <c r="J39" s="11">
        <f t="shared" si="6"/>
      </c>
      <c r="K39" s="11">
        <f t="shared" si="8"/>
      </c>
      <c r="L39" s="32">
        <f t="shared" si="9"/>
      </c>
      <c r="M39" s="32">
        <f t="shared" si="10"/>
      </c>
      <c r="N39" s="38">
        <f t="shared" si="11"/>
      </c>
    </row>
    <row r="40" spans="1:14" ht="12.75">
      <c r="A40" s="58"/>
      <c r="B40" s="56"/>
      <c r="C40" s="60"/>
      <c r="H40" s="45">
        <f t="shared" si="7"/>
      </c>
      <c r="I40" s="11">
        <f t="shared" si="5"/>
      </c>
      <c r="J40" s="11">
        <f t="shared" si="6"/>
      </c>
      <c r="K40" s="11">
        <f t="shared" si="8"/>
      </c>
      <c r="L40" s="32">
        <f t="shared" si="9"/>
      </c>
      <c r="M40" s="32">
        <f t="shared" si="10"/>
      </c>
      <c r="N40" s="38">
        <f t="shared" si="11"/>
      </c>
    </row>
    <row r="41" spans="1:14" ht="12.75">
      <c r="A41" s="58"/>
      <c r="B41" s="56"/>
      <c r="C41" s="60"/>
      <c r="H41" s="45">
        <f t="shared" si="7"/>
      </c>
      <c r="I41" s="11">
        <f t="shared" si="5"/>
      </c>
      <c r="J41" s="11">
        <f t="shared" si="6"/>
      </c>
      <c r="K41" s="11">
        <f t="shared" si="8"/>
      </c>
      <c r="L41" s="32">
        <f t="shared" si="9"/>
      </c>
      <c r="M41" s="32">
        <f t="shared" si="10"/>
      </c>
      <c r="N41" s="38">
        <f t="shared" si="11"/>
      </c>
    </row>
    <row r="42" spans="1:14" ht="12.75">
      <c r="A42" s="58"/>
      <c r="B42" s="56"/>
      <c r="C42" s="60"/>
      <c r="H42" s="45">
        <f t="shared" si="7"/>
      </c>
      <c r="I42" s="11">
        <f t="shared" si="5"/>
      </c>
      <c r="J42" s="11">
        <f t="shared" si="6"/>
      </c>
      <c r="K42" s="11">
        <f t="shared" si="8"/>
      </c>
      <c r="L42" s="32">
        <f t="shared" si="9"/>
      </c>
      <c r="M42" s="32">
        <f t="shared" si="10"/>
      </c>
      <c r="N42" s="38">
        <f t="shared" si="11"/>
      </c>
    </row>
    <row r="43" spans="1:14" ht="12.75">
      <c r="A43" s="58"/>
      <c r="B43" s="56"/>
      <c r="C43" s="60"/>
      <c r="H43" s="45">
        <f t="shared" si="7"/>
      </c>
      <c r="I43" s="11">
        <f t="shared" si="5"/>
      </c>
      <c r="J43" s="11">
        <f t="shared" si="6"/>
      </c>
      <c r="K43" s="11">
        <f t="shared" si="8"/>
      </c>
      <c r="L43" s="32">
        <f t="shared" si="9"/>
      </c>
      <c r="M43" s="32">
        <f t="shared" si="10"/>
      </c>
      <c r="N43" s="38">
        <f t="shared" si="11"/>
      </c>
    </row>
    <row r="44" spans="1:14" ht="12.75">
      <c r="A44" s="58"/>
      <c r="B44" s="56"/>
      <c r="C44" s="60"/>
      <c r="H44" s="45">
        <f t="shared" si="7"/>
      </c>
      <c r="I44" s="11">
        <f t="shared" si="5"/>
      </c>
      <c r="J44" s="11">
        <f t="shared" si="6"/>
      </c>
      <c r="K44" s="11">
        <f t="shared" si="8"/>
      </c>
      <c r="L44" s="32">
        <f t="shared" si="9"/>
      </c>
      <c r="M44" s="32">
        <f t="shared" si="10"/>
      </c>
      <c r="N44" s="38">
        <f t="shared" si="11"/>
      </c>
    </row>
    <row r="45" spans="1:14" ht="12.75">
      <c r="A45" s="58"/>
      <c r="B45" s="56"/>
      <c r="C45" s="60"/>
      <c r="H45" s="45">
        <f t="shared" si="7"/>
      </c>
      <c r="I45" s="11">
        <f t="shared" si="5"/>
      </c>
      <c r="J45" s="11">
        <f t="shared" si="6"/>
      </c>
      <c r="K45" s="11">
        <f t="shared" si="8"/>
      </c>
      <c r="L45" s="32">
        <f t="shared" si="9"/>
      </c>
      <c r="M45" s="32">
        <f t="shared" si="10"/>
      </c>
      <c r="N45" s="38">
        <f t="shared" si="11"/>
      </c>
    </row>
    <row r="46" spans="1:14" ht="12.75">
      <c r="A46" s="58"/>
      <c r="B46" s="56"/>
      <c r="C46" s="60"/>
      <c r="H46" s="45">
        <f t="shared" si="7"/>
      </c>
      <c r="I46" s="11">
        <f t="shared" si="5"/>
      </c>
      <c r="J46" s="11">
        <f t="shared" si="6"/>
      </c>
      <c r="K46" s="11">
        <f t="shared" si="8"/>
      </c>
      <c r="L46" s="32">
        <f t="shared" si="9"/>
      </c>
      <c r="M46" s="32">
        <f t="shared" si="10"/>
      </c>
      <c r="N46" s="38">
        <f t="shared" si="11"/>
      </c>
    </row>
    <row r="47" spans="1:14" ht="12.75">
      <c r="A47" s="58"/>
      <c r="B47" s="56"/>
      <c r="C47" s="60"/>
      <c r="H47" s="45">
        <f t="shared" si="7"/>
      </c>
      <c r="I47" s="11">
        <f t="shared" si="5"/>
      </c>
      <c r="J47" s="11">
        <f t="shared" si="6"/>
      </c>
      <c r="K47" s="11">
        <f t="shared" si="8"/>
      </c>
      <c r="L47" s="32">
        <f t="shared" si="9"/>
      </c>
      <c r="M47" s="32">
        <f t="shared" si="10"/>
      </c>
      <c r="N47" s="38">
        <f t="shared" si="11"/>
      </c>
    </row>
    <row r="48" spans="1:14" ht="12.75">
      <c r="A48" s="58"/>
      <c r="B48" s="56"/>
      <c r="C48" s="60"/>
      <c r="H48" s="45">
        <f t="shared" si="7"/>
      </c>
      <c r="I48" s="11">
        <f t="shared" si="5"/>
      </c>
      <c r="J48" s="11">
        <f t="shared" si="6"/>
      </c>
      <c r="K48" s="11">
        <f t="shared" si="8"/>
      </c>
      <c r="L48" s="32">
        <f t="shared" si="9"/>
      </c>
      <c r="M48" s="32">
        <f t="shared" si="10"/>
      </c>
      <c r="N48" s="38">
        <f t="shared" si="11"/>
      </c>
    </row>
    <row r="49" spans="1:14" ht="12.75">
      <c r="A49" s="58"/>
      <c r="B49" s="56"/>
      <c r="C49" s="60"/>
      <c r="H49" s="45">
        <f t="shared" si="7"/>
      </c>
      <c r="I49" s="11">
        <f t="shared" si="5"/>
      </c>
      <c r="J49" s="11">
        <f t="shared" si="6"/>
      </c>
      <c r="K49" s="11">
        <f t="shared" si="8"/>
      </c>
      <c r="L49" s="32">
        <f t="shared" si="9"/>
      </c>
      <c r="M49" s="32">
        <f t="shared" si="10"/>
      </c>
      <c r="N49" s="38">
        <f t="shared" si="11"/>
      </c>
    </row>
    <row r="50" spans="1:14" ht="12.75">
      <c r="A50" s="58"/>
      <c r="B50" s="56"/>
      <c r="C50" s="60"/>
      <c r="H50" s="45">
        <f t="shared" si="7"/>
      </c>
      <c r="I50" s="11">
        <f t="shared" si="5"/>
      </c>
      <c r="J50" s="11">
        <f t="shared" si="6"/>
      </c>
      <c r="K50" s="11">
        <f t="shared" si="8"/>
      </c>
      <c r="L50" s="32">
        <f t="shared" si="9"/>
      </c>
      <c r="M50" s="32">
        <f t="shared" si="10"/>
      </c>
      <c r="N50" s="38">
        <f t="shared" si="11"/>
      </c>
    </row>
    <row r="51" spans="1:14" ht="12.75">
      <c r="A51" s="58"/>
      <c r="B51" s="56"/>
      <c r="C51" s="60"/>
      <c r="H51" s="45">
        <f t="shared" si="7"/>
      </c>
      <c r="I51" s="11">
        <f t="shared" si="5"/>
      </c>
      <c r="J51" s="11">
        <f t="shared" si="6"/>
      </c>
      <c r="K51" s="11">
        <f t="shared" si="8"/>
      </c>
      <c r="L51" s="32">
        <f t="shared" si="9"/>
      </c>
      <c r="M51" s="32">
        <f t="shared" si="10"/>
      </c>
      <c r="N51" s="38">
        <f t="shared" si="11"/>
      </c>
    </row>
    <row r="52" spans="1:14" ht="12.75">
      <c r="A52" s="58"/>
      <c r="B52" s="56"/>
      <c r="C52" s="60"/>
      <c r="H52" s="45">
        <f t="shared" si="7"/>
      </c>
      <c r="I52" s="11">
        <f t="shared" si="5"/>
      </c>
      <c r="J52" s="11">
        <f t="shared" si="6"/>
      </c>
      <c r="K52" s="11">
        <f t="shared" si="8"/>
      </c>
      <c r="L52" s="32">
        <f t="shared" si="9"/>
      </c>
      <c r="M52" s="32">
        <f t="shared" si="10"/>
      </c>
      <c r="N52" s="38">
        <f t="shared" si="11"/>
      </c>
    </row>
    <row r="53" spans="1:14" ht="12.75">
      <c r="A53" s="58"/>
      <c r="B53" s="56"/>
      <c r="C53" s="60"/>
      <c r="H53" s="45">
        <f t="shared" si="7"/>
      </c>
      <c r="I53" s="11">
        <f t="shared" si="5"/>
      </c>
      <c r="J53" s="11">
        <f t="shared" si="6"/>
      </c>
      <c r="K53" s="11">
        <f t="shared" si="8"/>
      </c>
      <c r="L53" s="32">
        <f t="shared" si="9"/>
      </c>
      <c r="M53" s="32">
        <f t="shared" si="10"/>
      </c>
      <c r="N53" s="38">
        <f t="shared" si="11"/>
      </c>
    </row>
    <row r="54" spans="1:14" ht="12.75">
      <c r="A54" s="58"/>
      <c r="B54" s="56"/>
      <c r="C54" s="60"/>
      <c r="H54" s="45">
        <f t="shared" si="7"/>
      </c>
      <c r="I54" s="11">
        <f t="shared" si="5"/>
      </c>
      <c r="J54" s="11">
        <f t="shared" si="6"/>
      </c>
      <c r="K54" s="11">
        <f t="shared" si="8"/>
      </c>
      <c r="L54" s="32">
        <f t="shared" si="9"/>
      </c>
      <c r="M54" s="32">
        <f t="shared" si="10"/>
      </c>
      <c r="N54" s="38">
        <f t="shared" si="11"/>
      </c>
    </row>
    <row r="55" spans="1:14" ht="12.75">
      <c r="A55" s="58"/>
      <c r="B55" s="56"/>
      <c r="C55" s="60"/>
      <c r="H55" s="45">
        <f t="shared" si="7"/>
      </c>
      <c r="I55" s="11">
        <f t="shared" si="5"/>
      </c>
      <c r="J55" s="11">
        <f t="shared" si="6"/>
      </c>
      <c r="K55" s="11">
        <f t="shared" si="8"/>
      </c>
      <c r="L55" s="32">
        <f t="shared" si="9"/>
      </c>
      <c r="M55" s="32">
        <f t="shared" si="10"/>
      </c>
      <c r="N55" s="38">
        <f t="shared" si="11"/>
      </c>
    </row>
    <row r="56" spans="1:14" ht="12.75">
      <c r="A56" s="58"/>
      <c r="B56" s="56"/>
      <c r="C56" s="60"/>
      <c r="H56" s="45">
        <f t="shared" si="7"/>
      </c>
      <c r="I56" s="11">
        <f t="shared" si="5"/>
      </c>
      <c r="J56" s="11">
        <f t="shared" si="6"/>
      </c>
      <c r="K56" s="11">
        <f t="shared" si="8"/>
      </c>
      <c r="L56" s="32">
        <f t="shared" si="9"/>
      </c>
      <c r="M56" s="32">
        <f t="shared" si="10"/>
      </c>
      <c r="N56" s="38">
        <f t="shared" si="11"/>
      </c>
    </row>
    <row r="57" spans="1:14" ht="12.75">
      <c r="A57" s="58"/>
      <c r="B57" s="56"/>
      <c r="C57" s="60"/>
      <c r="H57" s="45">
        <f t="shared" si="7"/>
      </c>
      <c r="I57" s="11">
        <f t="shared" si="5"/>
      </c>
      <c r="J57" s="11">
        <f t="shared" si="6"/>
      </c>
      <c r="K57" s="11">
        <f t="shared" si="8"/>
      </c>
      <c r="L57" s="32">
        <f t="shared" si="9"/>
      </c>
      <c r="M57" s="32">
        <f t="shared" si="10"/>
      </c>
      <c r="N57" s="38">
        <f t="shared" si="11"/>
      </c>
    </row>
    <row r="58" spans="1:14" ht="12.75">
      <c r="A58" s="58"/>
      <c r="B58" s="56"/>
      <c r="C58" s="60"/>
      <c r="H58" s="45">
        <f t="shared" si="7"/>
      </c>
      <c r="I58" s="11">
        <f t="shared" si="5"/>
      </c>
      <c r="J58" s="11">
        <f t="shared" si="6"/>
      </c>
      <c r="K58" s="11">
        <f t="shared" si="8"/>
      </c>
      <c r="L58" s="32">
        <f t="shared" si="9"/>
      </c>
      <c r="M58" s="32">
        <f t="shared" si="10"/>
      </c>
      <c r="N58" s="38">
        <f t="shared" si="11"/>
      </c>
    </row>
    <row r="59" spans="1:14" ht="12.75">
      <c r="A59" s="58"/>
      <c r="B59" s="56"/>
      <c r="C59" s="60"/>
      <c r="H59" s="45">
        <f t="shared" si="7"/>
      </c>
      <c r="I59" s="11">
        <f t="shared" si="5"/>
      </c>
      <c r="J59" s="11">
        <f t="shared" si="6"/>
      </c>
      <c r="K59" s="11">
        <f t="shared" si="8"/>
      </c>
      <c r="L59" s="32">
        <f t="shared" si="9"/>
      </c>
      <c r="M59" s="32">
        <f t="shared" si="10"/>
      </c>
      <c r="N59" s="38">
        <f t="shared" si="11"/>
      </c>
    </row>
    <row r="60" spans="1:14" ht="12.75">
      <c r="A60" s="58"/>
      <c r="B60" s="56"/>
      <c r="C60" s="60"/>
      <c r="H60" s="45">
        <f t="shared" si="7"/>
      </c>
      <c r="I60" s="11">
        <f t="shared" si="5"/>
      </c>
      <c r="J60" s="11">
        <f t="shared" si="6"/>
      </c>
      <c r="K60" s="11">
        <f t="shared" si="8"/>
      </c>
      <c r="L60" s="32">
        <f t="shared" si="9"/>
      </c>
      <c r="M60" s="32">
        <f t="shared" si="10"/>
      </c>
      <c r="N60" s="38">
        <f t="shared" si="11"/>
      </c>
    </row>
    <row r="61" spans="1:14" ht="12.75">
      <c r="A61" s="58"/>
      <c r="B61" s="56"/>
      <c r="C61" s="60"/>
      <c r="H61" s="45">
        <f t="shared" si="7"/>
      </c>
      <c r="I61" s="11">
        <f t="shared" si="5"/>
      </c>
      <c r="J61" s="11">
        <f t="shared" si="6"/>
      </c>
      <c r="K61" s="11">
        <f t="shared" si="8"/>
      </c>
      <c r="L61" s="32">
        <f t="shared" si="9"/>
      </c>
      <c r="M61" s="32">
        <f t="shared" si="10"/>
      </c>
      <c r="N61" s="38">
        <f t="shared" si="11"/>
      </c>
    </row>
    <row r="62" spans="1:14" ht="12.75">
      <c r="A62" s="58"/>
      <c r="B62" s="56"/>
      <c r="C62" s="60"/>
      <c r="H62" s="45">
        <f t="shared" si="7"/>
      </c>
      <c r="I62" s="11">
        <f t="shared" si="5"/>
      </c>
      <c r="J62" s="11">
        <f t="shared" si="6"/>
      </c>
      <c r="K62" s="11">
        <f t="shared" si="8"/>
      </c>
      <c r="L62" s="32">
        <f t="shared" si="9"/>
      </c>
      <c r="M62" s="32">
        <f t="shared" si="10"/>
      </c>
      <c r="N62" s="38">
        <f t="shared" si="11"/>
      </c>
    </row>
    <row r="63" spans="1:14" ht="12.75">
      <c r="A63" s="58"/>
      <c r="B63" s="56"/>
      <c r="C63" s="60"/>
      <c r="H63" s="45">
        <f t="shared" si="7"/>
      </c>
      <c r="I63" s="11">
        <f t="shared" si="5"/>
      </c>
      <c r="J63" s="11">
        <f t="shared" si="6"/>
      </c>
      <c r="K63" s="11">
        <f t="shared" si="8"/>
      </c>
      <c r="L63" s="32">
        <f t="shared" si="9"/>
      </c>
      <c r="M63" s="32">
        <f t="shared" si="10"/>
      </c>
      <c r="N63" s="38">
        <f t="shared" si="11"/>
      </c>
    </row>
    <row r="64" spans="1:14" ht="12.75">
      <c r="A64" s="58"/>
      <c r="B64" s="56"/>
      <c r="C64" s="60"/>
      <c r="H64" s="45">
        <f t="shared" si="7"/>
      </c>
      <c r="I64" s="11">
        <f t="shared" si="5"/>
      </c>
      <c r="J64" s="11">
        <f t="shared" si="6"/>
      </c>
      <c r="K64" s="11">
        <f t="shared" si="8"/>
      </c>
      <c r="L64" s="32">
        <f t="shared" si="9"/>
      </c>
      <c r="M64" s="32">
        <f t="shared" si="10"/>
      </c>
      <c r="N64" s="38">
        <f t="shared" si="11"/>
      </c>
    </row>
    <row r="65" spans="1:14" ht="12.75">
      <c r="A65" s="58"/>
      <c r="B65" s="56"/>
      <c r="C65" s="60"/>
      <c r="H65" s="45">
        <f t="shared" si="7"/>
      </c>
      <c r="I65" s="11">
        <f t="shared" si="5"/>
      </c>
      <c r="J65" s="11">
        <f t="shared" si="6"/>
      </c>
      <c r="K65" s="11">
        <f t="shared" si="8"/>
      </c>
      <c r="L65" s="32">
        <f t="shared" si="9"/>
      </c>
      <c r="M65" s="32">
        <f t="shared" si="10"/>
      </c>
      <c r="N65" s="38">
        <f t="shared" si="11"/>
      </c>
    </row>
    <row r="66" spans="1:14" ht="12.75">
      <c r="A66" s="58"/>
      <c r="B66" s="56"/>
      <c r="C66" s="60"/>
      <c r="H66" s="45">
        <f t="shared" si="7"/>
      </c>
      <c r="I66" s="11">
        <f t="shared" si="5"/>
      </c>
      <c r="J66" s="11">
        <f t="shared" si="6"/>
      </c>
      <c r="K66" s="11">
        <f t="shared" si="8"/>
      </c>
      <c r="L66" s="32">
        <f t="shared" si="9"/>
      </c>
      <c r="M66" s="32">
        <f t="shared" si="10"/>
      </c>
      <c r="N66" s="38">
        <f t="shared" si="11"/>
      </c>
    </row>
    <row r="67" spans="1:14" ht="12.75">
      <c r="A67" s="58"/>
      <c r="B67" s="56"/>
      <c r="C67" s="60"/>
      <c r="H67" s="45">
        <f t="shared" si="7"/>
      </c>
      <c r="I67" s="11">
        <f t="shared" si="5"/>
      </c>
      <c r="J67" s="11">
        <f t="shared" si="6"/>
      </c>
      <c r="K67" s="11">
        <f t="shared" si="8"/>
      </c>
      <c r="L67" s="32">
        <f t="shared" si="9"/>
      </c>
      <c r="M67" s="32">
        <f t="shared" si="10"/>
      </c>
      <c r="N67" s="38">
        <f t="shared" si="11"/>
      </c>
    </row>
    <row r="68" spans="1:14" ht="12.75">
      <c r="A68" s="58"/>
      <c r="B68" s="56"/>
      <c r="C68" s="60"/>
      <c r="H68" s="45">
        <f t="shared" si="7"/>
      </c>
      <c r="I68" s="11">
        <f t="shared" si="5"/>
      </c>
      <c r="J68" s="11">
        <f t="shared" si="6"/>
      </c>
      <c r="K68" s="11">
        <f t="shared" si="8"/>
      </c>
      <c r="L68" s="32">
        <f t="shared" si="9"/>
      </c>
      <c r="M68" s="32">
        <f t="shared" si="10"/>
      </c>
      <c r="N68" s="38">
        <f t="shared" si="11"/>
      </c>
    </row>
    <row r="69" spans="1:14" ht="12.75">
      <c r="A69" s="58"/>
      <c r="B69" s="56"/>
      <c r="C69" s="60"/>
      <c r="H69" s="45">
        <f aca="true" t="shared" si="12" ref="H69:H104">IF(ISBLANK(A69),"",A69)</f>
      </c>
      <c r="I69" s="11">
        <f t="shared" si="5"/>
      </c>
      <c r="J69" s="11">
        <f t="shared" si="6"/>
      </c>
      <c r="K69" s="11">
        <f aca="true" t="shared" si="13" ref="K69:K104">IF(ISBLANK(C69),"",$F$13+B69*$F$12)</f>
      </c>
      <c r="L69" s="32">
        <f aca="true" t="shared" si="14" ref="L69:L100">IF(ISBLANK(C69),"",IF(K69="","",C69-K69))</f>
      </c>
      <c r="M69" s="32">
        <f aca="true" t="shared" si="15" ref="M69:M100">IF(L69="","",ABS(L69))</f>
      </c>
      <c r="N69" s="38">
        <f aca="true" t="shared" si="16" ref="N69:N104">IF(L69="","",L69^2)</f>
      </c>
    </row>
    <row r="70" spans="1:14" ht="12.75">
      <c r="A70" s="58"/>
      <c r="B70" s="56"/>
      <c r="C70" s="60"/>
      <c r="H70" s="45">
        <f t="shared" si="12"/>
      </c>
      <c r="I70" s="11">
        <f aca="true" t="shared" si="17" ref="I70:I104">IF(ISBLANK(B70),"",B70)</f>
      </c>
      <c r="J70" s="11">
        <f aca="true" t="shared" si="18" ref="J70:J104">IF(ISBLANK(C70),"",C70)</f>
      </c>
      <c r="K70" s="11">
        <f t="shared" si="13"/>
      </c>
      <c r="L70" s="32">
        <f t="shared" si="14"/>
      </c>
      <c r="M70" s="32">
        <f t="shared" si="15"/>
      </c>
      <c r="N70" s="38">
        <f t="shared" si="16"/>
      </c>
    </row>
    <row r="71" spans="1:14" ht="12.75">
      <c r="A71" s="58"/>
      <c r="B71" s="56"/>
      <c r="C71" s="60"/>
      <c r="H71" s="45">
        <f t="shared" si="12"/>
      </c>
      <c r="I71" s="11">
        <f t="shared" si="17"/>
      </c>
      <c r="J71" s="11">
        <f t="shared" si="18"/>
      </c>
      <c r="K71" s="11">
        <f t="shared" si="13"/>
      </c>
      <c r="L71" s="32">
        <f t="shared" si="14"/>
      </c>
      <c r="M71" s="32">
        <f t="shared" si="15"/>
      </c>
      <c r="N71" s="38">
        <f t="shared" si="16"/>
      </c>
    </row>
    <row r="72" spans="1:14" ht="12.75">
      <c r="A72" s="58"/>
      <c r="B72" s="56"/>
      <c r="C72" s="60"/>
      <c r="H72" s="45">
        <f t="shared" si="12"/>
      </c>
      <c r="I72" s="11">
        <f t="shared" si="17"/>
      </c>
      <c r="J72" s="11">
        <f t="shared" si="18"/>
      </c>
      <c r="K72" s="11">
        <f t="shared" si="13"/>
      </c>
      <c r="L72" s="32">
        <f t="shared" si="14"/>
      </c>
      <c r="M72" s="32">
        <f t="shared" si="15"/>
      </c>
      <c r="N72" s="38">
        <f t="shared" si="16"/>
      </c>
    </row>
    <row r="73" spans="1:14" ht="12.75">
      <c r="A73" s="58"/>
      <c r="B73" s="56"/>
      <c r="C73" s="60"/>
      <c r="H73" s="45">
        <f t="shared" si="12"/>
      </c>
      <c r="I73" s="11">
        <f t="shared" si="17"/>
      </c>
      <c r="J73" s="11">
        <f t="shared" si="18"/>
      </c>
      <c r="K73" s="11">
        <f t="shared" si="13"/>
      </c>
      <c r="L73" s="32">
        <f t="shared" si="14"/>
      </c>
      <c r="M73" s="32">
        <f t="shared" si="15"/>
      </c>
      <c r="N73" s="38">
        <f t="shared" si="16"/>
      </c>
    </row>
    <row r="74" spans="1:14" ht="12.75">
      <c r="A74" s="58"/>
      <c r="B74" s="56"/>
      <c r="C74" s="60"/>
      <c r="H74" s="45">
        <f t="shared" si="12"/>
      </c>
      <c r="I74" s="11">
        <f t="shared" si="17"/>
      </c>
      <c r="J74" s="11">
        <f t="shared" si="18"/>
      </c>
      <c r="K74" s="11">
        <f t="shared" si="13"/>
      </c>
      <c r="L74" s="32">
        <f t="shared" si="14"/>
      </c>
      <c r="M74" s="32">
        <f t="shared" si="15"/>
      </c>
      <c r="N74" s="38">
        <f t="shared" si="16"/>
      </c>
    </row>
    <row r="75" spans="1:14" ht="12.75">
      <c r="A75" s="58"/>
      <c r="B75" s="56"/>
      <c r="C75" s="60"/>
      <c r="H75" s="45">
        <f t="shared" si="12"/>
      </c>
      <c r="I75" s="11">
        <f t="shared" si="17"/>
      </c>
      <c r="J75" s="11">
        <f t="shared" si="18"/>
      </c>
      <c r="K75" s="11">
        <f t="shared" si="13"/>
      </c>
      <c r="L75" s="32">
        <f t="shared" si="14"/>
      </c>
      <c r="M75" s="32">
        <f t="shared" si="15"/>
      </c>
      <c r="N75" s="38">
        <f t="shared" si="16"/>
      </c>
    </row>
    <row r="76" spans="1:14" ht="12.75">
      <c r="A76" s="58"/>
      <c r="B76" s="56"/>
      <c r="C76" s="60"/>
      <c r="H76" s="45">
        <f t="shared" si="12"/>
      </c>
      <c r="I76" s="11">
        <f t="shared" si="17"/>
      </c>
      <c r="J76" s="11">
        <f t="shared" si="18"/>
      </c>
      <c r="K76" s="11">
        <f t="shared" si="13"/>
      </c>
      <c r="L76" s="32">
        <f t="shared" si="14"/>
      </c>
      <c r="M76" s="32">
        <f t="shared" si="15"/>
      </c>
      <c r="N76" s="38">
        <f t="shared" si="16"/>
      </c>
    </row>
    <row r="77" spans="1:14" ht="12.75">
      <c r="A77" s="58"/>
      <c r="B77" s="56"/>
      <c r="C77" s="60"/>
      <c r="H77" s="45">
        <f t="shared" si="12"/>
      </c>
      <c r="I77" s="11">
        <f t="shared" si="17"/>
      </c>
      <c r="J77" s="11">
        <f t="shared" si="18"/>
      </c>
      <c r="K77" s="11">
        <f t="shared" si="13"/>
      </c>
      <c r="L77" s="32">
        <f t="shared" si="14"/>
      </c>
      <c r="M77" s="32">
        <f t="shared" si="15"/>
      </c>
      <c r="N77" s="38">
        <f t="shared" si="16"/>
      </c>
    </row>
    <row r="78" spans="1:14" ht="12.75">
      <c r="A78" s="58"/>
      <c r="B78" s="56"/>
      <c r="C78" s="60"/>
      <c r="H78" s="45">
        <f t="shared" si="12"/>
      </c>
      <c r="I78" s="11">
        <f t="shared" si="17"/>
      </c>
      <c r="J78" s="11">
        <f t="shared" si="18"/>
      </c>
      <c r="K78" s="11">
        <f t="shared" si="13"/>
      </c>
      <c r="L78" s="32">
        <f t="shared" si="14"/>
      </c>
      <c r="M78" s="32">
        <f t="shared" si="15"/>
      </c>
      <c r="N78" s="38">
        <f t="shared" si="16"/>
      </c>
    </row>
    <row r="79" spans="1:14" ht="12.75">
      <c r="A79" s="58"/>
      <c r="B79" s="56"/>
      <c r="C79" s="60"/>
      <c r="H79" s="45">
        <f t="shared" si="12"/>
      </c>
      <c r="I79" s="11">
        <f t="shared" si="17"/>
      </c>
      <c r="J79" s="11">
        <f t="shared" si="18"/>
      </c>
      <c r="K79" s="11">
        <f t="shared" si="13"/>
      </c>
      <c r="L79" s="32">
        <f t="shared" si="14"/>
      </c>
      <c r="M79" s="32">
        <f t="shared" si="15"/>
      </c>
      <c r="N79" s="38">
        <f t="shared" si="16"/>
      </c>
    </row>
    <row r="80" spans="1:14" ht="12.75">
      <c r="A80" s="58"/>
      <c r="B80" s="56"/>
      <c r="C80" s="60"/>
      <c r="H80" s="45">
        <f t="shared" si="12"/>
      </c>
      <c r="I80" s="11">
        <f t="shared" si="17"/>
      </c>
      <c r="J80" s="11">
        <f t="shared" si="18"/>
      </c>
      <c r="K80" s="11">
        <f t="shared" si="13"/>
      </c>
      <c r="L80" s="32">
        <f t="shared" si="14"/>
      </c>
      <c r="M80" s="32">
        <f t="shared" si="15"/>
      </c>
      <c r="N80" s="38">
        <f t="shared" si="16"/>
      </c>
    </row>
    <row r="81" spans="1:14" ht="12.75">
      <c r="A81" s="58"/>
      <c r="B81" s="56"/>
      <c r="C81" s="60"/>
      <c r="H81" s="45">
        <f t="shared" si="12"/>
      </c>
      <c r="I81" s="11">
        <f t="shared" si="17"/>
      </c>
      <c r="J81" s="11">
        <f t="shared" si="18"/>
      </c>
      <c r="K81" s="11">
        <f t="shared" si="13"/>
      </c>
      <c r="L81" s="32">
        <f t="shared" si="14"/>
      </c>
      <c r="M81" s="32">
        <f t="shared" si="15"/>
      </c>
      <c r="N81" s="38">
        <f t="shared" si="16"/>
      </c>
    </row>
    <row r="82" spans="1:14" ht="12.75">
      <c r="A82" s="58"/>
      <c r="B82" s="56"/>
      <c r="C82" s="60"/>
      <c r="H82" s="45">
        <f t="shared" si="12"/>
      </c>
      <c r="I82" s="11">
        <f t="shared" si="17"/>
      </c>
      <c r="J82" s="11">
        <f t="shared" si="18"/>
      </c>
      <c r="K82" s="11">
        <f t="shared" si="13"/>
      </c>
      <c r="L82" s="32">
        <f t="shared" si="14"/>
      </c>
      <c r="M82" s="32">
        <f t="shared" si="15"/>
      </c>
      <c r="N82" s="38">
        <f t="shared" si="16"/>
      </c>
    </row>
    <row r="83" spans="1:14" ht="12.75">
      <c r="A83" s="58"/>
      <c r="B83" s="56"/>
      <c r="C83" s="60"/>
      <c r="H83" s="45">
        <f t="shared" si="12"/>
      </c>
      <c r="I83" s="11">
        <f t="shared" si="17"/>
      </c>
      <c r="J83" s="11">
        <f t="shared" si="18"/>
      </c>
      <c r="K83" s="11">
        <f t="shared" si="13"/>
      </c>
      <c r="L83" s="32">
        <f t="shared" si="14"/>
      </c>
      <c r="M83" s="32">
        <f t="shared" si="15"/>
      </c>
      <c r="N83" s="38">
        <f t="shared" si="16"/>
      </c>
    </row>
    <row r="84" spans="1:14" ht="12.75">
      <c r="A84" s="58"/>
      <c r="B84" s="56"/>
      <c r="C84" s="60"/>
      <c r="H84" s="45">
        <f t="shared" si="12"/>
      </c>
      <c r="I84" s="11">
        <f t="shared" si="17"/>
      </c>
      <c r="J84" s="11">
        <f t="shared" si="18"/>
      </c>
      <c r="K84" s="11">
        <f t="shared" si="13"/>
      </c>
      <c r="L84" s="32">
        <f t="shared" si="14"/>
      </c>
      <c r="M84" s="32">
        <f t="shared" si="15"/>
      </c>
      <c r="N84" s="38">
        <f t="shared" si="16"/>
      </c>
    </row>
    <row r="85" spans="1:14" ht="12.75">
      <c r="A85" s="58"/>
      <c r="B85" s="56"/>
      <c r="C85" s="60"/>
      <c r="H85" s="45">
        <f t="shared" si="12"/>
      </c>
      <c r="I85" s="11">
        <f t="shared" si="17"/>
      </c>
      <c r="J85" s="11">
        <f t="shared" si="18"/>
      </c>
      <c r="K85" s="11">
        <f t="shared" si="13"/>
      </c>
      <c r="L85" s="32">
        <f t="shared" si="14"/>
      </c>
      <c r="M85" s="32">
        <f t="shared" si="15"/>
      </c>
      <c r="N85" s="38">
        <f t="shared" si="16"/>
      </c>
    </row>
    <row r="86" spans="1:14" ht="12.75">
      <c r="A86" s="58"/>
      <c r="B86" s="56"/>
      <c r="C86" s="60"/>
      <c r="H86" s="45">
        <f t="shared" si="12"/>
      </c>
      <c r="I86" s="11">
        <f t="shared" si="17"/>
      </c>
      <c r="J86" s="11">
        <f t="shared" si="18"/>
      </c>
      <c r="K86" s="11">
        <f t="shared" si="13"/>
      </c>
      <c r="L86" s="32">
        <f t="shared" si="14"/>
      </c>
      <c r="M86" s="32">
        <f t="shared" si="15"/>
      </c>
      <c r="N86" s="38">
        <f t="shared" si="16"/>
      </c>
    </row>
    <row r="87" spans="1:14" ht="12.75">
      <c r="A87" s="58"/>
      <c r="B87" s="56"/>
      <c r="C87" s="60"/>
      <c r="H87" s="45">
        <f t="shared" si="12"/>
      </c>
      <c r="I87" s="11">
        <f t="shared" si="17"/>
      </c>
      <c r="J87" s="11">
        <f t="shared" si="18"/>
      </c>
      <c r="K87" s="11">
        <f t="shared" si="13"/>
      </c>
      <c r="L87" s="32">
        <f t="shared" si="14"/>
      </c>
      <c r="M87" s="32">
        <f t="shared" si="15"/>
      </c>
      <c r="N87" s="38">
        <f t="shared" si="16"/>
      </c>
    </row>
    <row r="88" spans="1:14" ht="12.75">
      <c r="A88" s="58"/>
      <c r="B88" s="56"/>
      <c r="C88" s="60"/>
      <c r="H88" s="45">
        <f t="shared" si="12"/>
      </c>
      <c r="I88" s="11">
        <f t="shared" si="17"/>
      </c>
      <c r="J88" s="11">
        <f t="shared" si="18"/>
      </c>
      <c r="K88" s="11">
        <f t="shared" si="13"/>
      </c>
      <c r="L88" s="32">
        <f t="shared" si="14"/>
      </c>
      <c r="M88" s="32">
        <f t="shared" si="15"/>
      </c>
      <c r="N88" s="38">
        <f t="shared" si="16"/>
      </c>
    </row>
    <row r="89" spans="1:14" ht="12.75">
      <c r="A89" s="58"/>
      <c r="B89" s="56"/>
      <c r="C89" s="60"/>
      <c r="H89" s="45">
        <f t="shared" si="12"/>
      </c>
      <c r="I89" s="11">
        <f t="shared" si="17"/>
      </c>
      <c r="J89" s="11">
        <f t="shared" si="18"/>
      </c>
      <c r="K89" s="11">
        <f t="shared" si="13"/>
      </c>
      <c r="L89" s="32">
        <f t="shared" si="14"/>
      </c>
      <c r="M89" s="32">
        <f t="shared" si="15"/>
      </c>
      <c r="N89" s="38">
        <f t="shared" si="16"/>
      </c>
    </row>
    <row r="90" spans="1:14" ht="12.75">
      <c r="A90" s="58"/>
      <c r="B90" s="56"/>
      <c r="C90" s="60"/>
      <c r="H90" s="45">
        <f t="shared" si="12"/>
      </c>
      <c r="I90" s="11">
        <f t="shared" si="17"/>
      </c>
      <c r="J90" s="11">
        <f t="shared" si="18"/>
      </c>
      <c r="K90" s="11">
        <f t="shared" si="13"/>
      </c>
      <c r="L90" s="32">
        <f t="shared" si="14"/>
      </c>
      <c r="M90" s="32">
        <f t="shared" si="15"/>
      </c>
      <c r="N90" s="38">
        <f t="shared" si="16"/>
      </c>
    </row>
    <row r="91" spans="1:14" ht="12.75">
      <c r="A91" s="58"/>
      <c r="B91" s="56"/>
      <c r="C91" s="60"/>
      <c r="H91" s="45">
        <f t="shared" si="12"/>
      </c>
      <c r="I91" s="11">
        <f t="shared" si="17"/>
      </c>
      <c r="J91" s="11">
        <f t="shared" si="18"/>
      </c>
      <c r="K91" s="11">
        <f t="shared" si="13"/>
      </c>
      <c r="L91" s="32">
        <f t="shared" si="14"/>
      </c>
      <c r="M91" s="32">
        <f t="shared" si="15"/>
      </c>
      <c r="N91" s="38">
        <f t="shared" si="16"/>
      </c>
    </row>
    <row r="92" spans="1:14" ht="12.75">
      <c r="A92" s="58"/>
      <c r="B92" s="56"/>
      <c r="C92" s="60"/>
      <c r="H92" s="45">
        <f t="shared" si="12"/>
      </c>
      <c r="I92" s="11">
        <f t="shared" si="17"/>
      </c>
      <c r="J92" s="11">
        <f t="shared" si="18"/>
      </c>
      <c r="K92" s="11">
        <f t="shared" si="13"/>
      </c>
      <c r="L92" s="32">
        <f t="shared" si="14"/>
      </c>
      <c r="M92" s="32">
        <f t="shared" si="15"/>
      </c>
      <c r="N92" s="38">
        <f t="shared" si="16"/>
      </c>
    </row>
    <row r="93" spans="1:14" ht="12.75">
      <c r="A93" s="58"/>
      <c r="B93" s="56"/>
      <c r="C93" s="60"/>
      <c r="H93" s="45">
        <f t="shared" si="12"/>
      </c>
      <c r="I93" s="11">
        <f t="shared" si="17"/>
      </c>
      <c r="J93" s="11">
        <f t="shared" si="18"/>
      </c>
      <c r="K93" s="11">
        <f t="shared" si="13"/>
      </c>
      <c r="L93" s="32">
        <f t="shared" si="14"/>
      </c>
      <c r="M93" s="32">
        <f t="shared" si="15"/>
      </c>
      <c r="N93" s="38">
        <f t="shared" si="16"/>
      </c>
    </row>
    <row r="94" spans="1:14" ht="12.75">
      <c r="A94" s="58"/>
      <c r="B94" s="56"/>
      <c r="C94" s="60"/>
      <c r="H94" s="45">
        <f t="shared" si="12"/>
      </c>
      <c r="I94" s="11">
        <f t="shared" si="17"/>
      </c>
      <c r="J94" s="11">
        <f t="shared" si="18"/>
      </c>
      <c r="K94" s="11">
        <f t="shared" si="13"/>
      </c>
      <c r="L94" s="32">
        <f t="shared" si="14"/>
      </c>
      <c r="M94" s="32">
        <f t="shared" si="15"/>
      </c>
      <c r="N94" s="38">
        <f t="shared" si="16"/>
      </c>
    </row>
    <row r="95" spans="1:14" ht="12.75">
      <c r="A95" s="58"/>
      <c r="B95" s="56"/>
      <c r="C95" s="60"/>
      <c r="H95" s="45">
        <f t="shared" si="12"/>
      </c>
      <c r="I95" s="11">
        <f t="shared" si="17"/>
      </c>
      <c r="J95" s="11">
        <f t="shared" si="18"/>
      </c>
      <c r="K95" s="11">
        <f t="shared" si="13"/>
      </c>
      <c r="L95" s="32">
        <f t="shared" si="14"/>
      </c>
      <c r="M95" s="32">
        <f t="shared" si="15"/>
      </c>
      <c r="N95" s="38">
        <f t="shared" si="16"/>
      </c>
    </row>
    <row r="96" spans="1:14" ht="12.75">
      <c r="A96" s="58"/>
      <c r="B96" s="56"/>
      <c r="C96" s="60"/>
      <c r="H96" s="45">
        <f t="shared" si="12"/>
      </c>
      <c r="I96" s="11">
        <f t="shared" si="17"/>
      </c>
      <c r="J96" s="11">
        <f t="shared" si="18"/>
      </c>
      <c r="K96" s="11">
        <f t="shared" si="13"/>
      </c>
      <c r="L96" s="32">
        <f t="shared" si="14"/>
      </c>
      <c r="M96" s="32">
        <f t="shared" si="15"/>
      </c>
      <c r="N96" s="38">
        <f t="shared" si="16"/>
      </c>
    </row>
    <row r="97" spans="1:14" ht="12.75">
      <c r="A97" s="58"/>
      <c r="B97" s="56"/>
      <c r="C97" s="60"/>
      <c r="H97" s="45">
        <f t="shared" si="12"/>
      </c>
      <c r="I97" s="11">
        <f t="shared" si="17"/>
      </c>
      <c r="J97" s="11">
        <f t="shared" si="18"/>
      </c>
      <c r="K97" s="11">
        <f t="shared" si="13"/>
      </c>
      <c r="L97" s="32">
        <f t="shared" si="14"/>
      </c>
      <c r="M97" s="32">
        <f t="shared" si="15"/>
      </c>
      <c r="N97" s="38">
        <f t="shared" si="16"/>
      </c>
    </row>
    <row r="98" spans="1:14" ht="12.75">
      <c r="A98" s="58"/>
      <c r="B98" s="56"/>
      <c r="C98" s="60"/>
      <c r="H98" s="45">
        <f t="shared" si="12"/>
      </c>
      <c r="I98" s="11">
        <f t="shared" si="17"/>
      </c>
      <c r="J98" s="11">
        <f t="shared" si="18"/>
      </c>
      <c r="K98" s="11">
        <f t="shared" si="13"/>
      </c>
      <c r="L98" s="32">
        <f t="shared" si="14"/>
      </c>
      <c r="M98" s="32">
        <f t="shared" si="15"/>
      </c>
      <c r="N98" s="38">
        <f t="shared" si="16"/>
      </c>
    </row>
    <row r="99" spans="1:14" ht="12.75">
      <c r="A99" s="58"/>
      <c r="B99" s="56"/>
      <c r="C99" s="60"/>
      <c r="H99" s="45">
        <f t="shared" si="12"/>
      </c>
      <c r="I99" s="11">
        <f t="shared" si="17"/>
      </c>
      <c r="J99" s="11">
        <f t="shared" si="18"/>
      </c>
      <c r="K99" s="11">
        <f t="shared" si="13"/>
      </c>
      <c r="L99" s="32">
        <f t="shared" si="14"/>
      </c>
      <c r="M99" s="32">
        <f t="shared" si="15"/>
      </c>
      <c r="N99" s="38">
        <f t="shared" si="16"/>
      </c>
    </row>
    <row r="100" spans="1:14" ht="12.75">
      <c r="A100" s="58"/>
      <c r="B100" s="56"/>
      <c r="C100" s="60"/>
      <c r="H100" s="45">
        <f t="shared" si="12"/>
      </c>
      <c r="I100" s="11">
        <f t="shared" si="17"/>
      </c>
      <c r="J100" s="11">
        <f t="shared" si="18"/>
      </c>
      <c r="K100" s="11">
        <f t="shared" si="13"/>
      </c>
      <c r="L100" s="32">
        <f t="shared" si="14"/>
      </c>
      <c r="M100" s="32">
        <f t="shared" si="15"/>
      </c>
      <c r="N100" s="38">
        <f t="shared" si="16"/>
      </c>
    </row>
    <row r="101" spans="1:14" ht="12.75">
      <c r="A101" s="58"/>
      <c r="B101" s="56"/>
      <c r="C101" s="60"/>
      <c r="H101" s="45">
        <f t="shared" si="12"/>
      </c>
      <c r="I101" s="11">
        <f t="shared" si="17"/>
      </c>
      <c r="J101" s="11">
        <f t="shared" si="18"/>
      </c>
      <c r="K101" s="11">
        <f t="shared" si="13"/>
      </c>
      <c r="L101" s="32">
        <f>IF(ISBLANK(C101),"",IF(K101="","",C101-K101))</f>
      </c>
      <c r="M101" s="32">
        <f>IF(L101="","",ABS(L101))</f>
      </c>
      <c r="N101" s="38">
        <f t="shared" si="16"/>
      </c>
    </row>
    <row r="102" spans="1:14" ht="12.75">
      <c r="A102" s="58"/>
      <c r="B102" s="56"/>
      <c r="C102" s="60"/>
      <c r="H102" s="45">
        <f t="shared" si="12"/>
      </c>
      <c r="I102" s="11">
        <f t="shared" si="17"/>
      </c>
      <c r="J102" s="11">
        <f t="shared" si="18"/>
      </c>
      <c r="K102" s="11">
        <f t="shared" si="13"/>
      </c>
      <c r="L102" s="32">
        <f>IF(ISBLANK(C102),"",IF(K102="","",C102-K102))</f>
      </c>
      <c r="M102" s="32">
        <f>IF(L102="","",ABS(L102))</f>
      </c>
      <c r="N102" s="38">
        <f t="shared" si="16"/>
      </c>
    </row>
    <row r="103" spans="1:14" ht="12.75">
      <c r="A103" s="58"/>
      <c r="B103" s="56"/>
      <c r="C103" s="60"/>
      <c r="H103" s="45">
        <f t="shared" si="12"/>
      </c>
      <c r="I103" s="11">
        <f t="shared" si="17"/>
      </c>
      <c r="J103" s="11">
        <f t="shared" si="18"/>
      </c>
      <c r="K103" s="11">
        <f t="shared" si="13"/>
      </c>
      <c r="L103" s="32">
        <f>IF(ISBLANK(C103),"",IF(K103="","",C103-K103))</f>
      </c>
      <c r="M103" s="32">
        <f>IF(L103="","",ABS(L103))</f>
      </c>
      <c r="N103" s="38">
        <f t="shared" si="16"/>
      </c>
    </row>
    <row r="104" spans="1:14" ht="13.5" thickBot="1">
      <c r="A104" s="59"/>
      <c r="B104" s="57"/>
      <c r="C104" s="61"/>
      <c r="H104" s="45">
        <f t="shared" si="12"/>
      </c>
      <c r="I104" s="11">
        <f t="shared" si="17"/>
      </c>
      <c r="J104" s="11">
        <f t="shared" si="18"/>
      </c>
      <c r="K104" s="11">
        <f t="shared" si="13"/>
      </c>
      <c r="L104" s="32">
        <f>IF(ISBLANK(C104),"",IF(K104="","",C104-K104))</f>
      </c>
      <c r="M104" s="32">
        <f>IF(L104="","",ABS(L104))</f>
      </c>
      <c r="N104" s="38">
        <f t="shared" si="16"/>
      </c>
    </row>
    <row r="105" spans="1:14" ht="12.75">
      <c r="A105" s="14"/>
      <c r="B105" s="14"/>
      <c r="C105" s="15"/>
      <c r="H105" s="45"/>
      <c r="I105" s="11"/>
      <c r="J105" s="11"/>
      <c r="K105" s="11">
        <f>IF(ISBLANK(C104),"",$F$13+#REF!*$F$12)</f>
      </c>
      <c r="L105" s="32"/>
      <c r="M105" s="32"/>
      <c r="N105" s="38"/>
    </row>
    <row r="106" spans="8:14" ht="12.75">
      <c r="H106" s="45"/>
      <c r="I106" s="11"/>
      <c r="J106" s="11"/>
      <c r="K106" s="35" t="s">
        <v>15</v>
      </c>
      <c r="L106" s="32">
        <f>SUM(L5:L104)</f>
        <v>0</v>
      </c>
      <c r="M106" s="32">
        <f>SUM(M5:M104)</f>
        <v>108</v>
      </c>
      <c r="N106" s="38">
        <f>SUM(N5:N104)</f>
        <v>1530</v>
      </c>
    </row>
    <row r="107" spans="8:14" ht="12.75">
      <c r="H107" s="45"/>
      <c r="I107" s="11"/>
      <c r="J107" s="11"/>
      <c r="K107" s="35" t="s">
        <v>16</v>
      </c>
      <c r="L107" s="32">
        <f>AVERAGE(L5:L104)</f>
        <v>0</v>
      </c>
      <c r="M107" s="32">
        <f>AVERAGE(M5:M104)</f>
        <v>10.8</v>
      </c>
      <c r="N107" s="38">
        <f>AVERAGE(N5:N104)</f>
        <v>153</v>
      </c>
    </row>
    <row r="108" spans="8:14" ht="13.5" thickBot="1">
      <c r="H108" s="46"/>
      <c r="I108" s="39"/>
      <c r="J108" s="39"/>
      <c r="K108" s="39"/>
      <c r="L108" s="40" t="s">
        <v>17</v>
      </c>
      <c r="M108" s="40" t="s">
        <v>18</v>
      </c>
      <c r="N108" s="41" t="s">
        <v>19</v>
      </c>
    </row>
    <row r="109" spans="8:14" ht="12.75">
      <c r="H109" s="12"/>
      <c r="I109" s="12"/>
      <c r="J109" s="12"/>
      <c r="K109" s="12"/>
      <c r="L109" s="12"/>
      <c r="M109" s="42" t="s">
        <v>20</v>
      </c>
      <c r="N109" s="28">
        <f>SQRT(N106/(COUNT(N5:N104)-2))</f>
        <v>13.82931668593933</v>
      </c>
    </row>
    <row r="110" ht="12.75">
      <c r="N110" s="1">
        <f>IF(COUNT(N5:N104)-2&lt;1,"Not enough data to compute the standard error","")</f>
      </c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25" right="0.25" top="0.5" bottom="0.5" header="0" footer="0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DrJim</cp:lastModifiedBy>
  <cp:lastPrinted>2003-10-10T03:49:10Z</cp:lastPrinted>
  <dcterms:created xsi:type="dcterms:W3CDTF">2003-09-26T19:56:05Z</dcterms:created>
  <dcterms:modified xsi:type="dcterms:W3CDTF">2014-11-06T14:57:08Z</dcterms:modified>
  <cp:category/>
  <cp:version/>
  <cp:contentType/>
  <cp:contentStatus/>
</cp:coreProperties>
</file>