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7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8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29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E:\Webpages\dsim201\"/>
    </mc:Choice>
  </mc:AlternateContent>
  <xr:revisionPtr revIDLastSave="0" documentId="13_ncr:1_{EE59EBE0-43BF-4614-A20B-64AB9FE1A1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.5" sheetId="72" r:id="rId1"/>
    <sheet name="10.6" sheetId="73" r:id="rId2"/>
    <sheet name="10.7" sheetId="74" r:id="rId3"/>
    <sheet name="10.8" sheetId="76" r:id="rId4"/>
    <sheet name="10.11" sheetId="75" r:id="rId5"/>
    <sheet name="10.12" sheetId="77" r:id="rId6"/>
    <sheet name="10.13" sheetId="78" r:id="rId7"/>
    <sheet name="10.14" sheetId="79" r:id="rId8"/>
    <sheet name="10.27" sheetId="81" r:id="rId9"/>
    <sheet name="10.28" sheetId="82" r:id="rId10"/>
    <sheet name="10.30" sheetId="84" r:id="rId11"/>
    <sheet name="10.31" sheetId="85" r:id="rId12"/>
    <sheet name="11.3" sheetId="86" r:id="rId13"/>
    <sheet name="11.4" sheetId="88" r:id="rId14"/>
    <sheet name="11.5" sheetId="89" r:id="rId15"/>
    <sheet name="11.6" sheetId="87" r:id="rId16"/>
    <sheet name="11.9" sheetId="91" r:id="rId17"/>
    <sheet name="11.10" sheetId="92" r:id="rId18"/>
    <sheet name="11.11" sheetId="90" r:id="rId19"/>
    <sheet name="11.12" sheetId="93" r:id="rId20"/>
    <sheet name="11.15" sheetId="95" r:id="rId21"/>
    <sheet name="11.17" sheetId="96" r:id="rId22"/>
    <sheet name="11.20" sheetId="42" r:id="rId23"/>
    <sheet name="11.21" sheetId="97" r:id="rId24"/>
    <sheet name="11.22" sheetId="43" r:id="rId25"/>
    <sheet name="12.9a" sheetId="48" r:id="rId26"/>
    <sheet name="12.9b" sheetId="49" r:id="rId27"/>
    <sheet name="12.10a" sheetId="46" r:id="rId28"/>
    <sheet name="12.10b" sheetId="47" r:id="rId29"/>
    <sheet name="13.5a" sheetId="52" r:id="rId30"/>
    <sheet name="13.5b" sheetId="53" r:id="rId31"/>
    <sheet name="13.15a" sheetId="54" r:id="rId32"/>
    <sheet name="13.15b" sheetId="55" r:id="rId33"/>
  </sheets>
  <externalReferences>
    <externalReference r:id="rId34"/>
    <externalReference r:id="rId35"/>
  </externalReferences>
  <definedNames>
    <definedName name="B">MMULT(XtXinv,MMULT(TRANSPOSE(MatX),Y))</definedName>
    <definedName name="Errors">Y-Yhat</definedName>
    <definedName name="GX">OFFSET(#REF!,0,0,1,k+1)</definedName>
    <definedName name="k">COLUMNS(X)</definedName>
    <definedName name="MatX">OFFSET(X,0,-1,n,k+1)</definedName>
    <definedName name="MSE">#REF!</definedName>
    <definedName name="MWData" localSheetId="17">OFFSET(#REF!,0,0,COUNT(#REF!),1)</definedName>
    <definedName name="MWData" localSheetId="18">OFFSET(#REF!,0,0,COUNT(#REF!),1)</definedName>
    <definedName name="MWData" localSheetId="19">OFFSET(#REF!,0,0,COUNT(#REF!),1)</definedName>
    <definedName name="MWData" localSheetId="20">OFFSET(#REF!,0,0,COUNT(#REF!),1)</definedName>
    <definedName name="MWData" localSheetId="21">OFFSET(#REF!,0,0,COUNT(#REF!),1)</definedName>
    <definedName name="MWData" localSheetId="23">OFFSET(#REF!,0,0,COUNT(#REF!),1)</definedName>
    <definedName name="MWData" localSheetId="12">OFFSET(#REF!,0,0,COUNT(#REF!),1)</definedName>
    <definedName name="MWData" localSheetId="13">OFFSET(#REF!,0,0,COUNT(#REF!),1)</definedName>
    <definedName name="MWData" localSheetId="14">OFFSET(#REF!,0,0,COUNT(#REF!),1)</definedName>
    <definedName name="MWData" localSheetId="15">OFFSET(#REF!,0,0,COUNT(#REF!),1)</definedName>
    <definedName name="MWData" localSheetId="16">OFFSET(#REF!,0,0,COUNT(#REF!),1)</definedName>
    <definedName name="MWData">OFFSET(#REF!,0,0,COUNT(#REF!),1)</definedName>
    <definedName name="MWGroup" localSheetId="17">OFFSET(#REF!,0,0,COUNT(#REF!),1)</definedName>
    <definedName name="MWGroup" localSheetId="18">OFFSET(#REF!,0,0,COUNT(#REF!),1)</definedName>
    <definedName name="MWGroup" localSheetId="19">OFFSET(#REF!,0,0,COUNT(#REF!),1)</definedName>
    <definedName name="MWGroup" localSheetId="20">OFFSET(#REF!,0,0,COUNT(#REF!),1)</definedName>
    <definedName name="MWGroup" localSheetId="21">OFFSET(#REF!,0,0,COUNT(#REF!),1)</definedName>
    <definedName name="MWGroup" localSheetId="23">OFFSET(#REF!,0,0,COUNT(#REF!),1)</definedName>
    <definedName name="MWGroup" localSheetId="12">OFFSET(#REF!,0,0,COUNT(#REF!),1)</definedName>
    <definedName name="MWGroup" localSheetId="13">OFFSET(#REF!,0,0,COUNT(#REF!),1)</definedName>
    <definedName name="MWGroup" localSheetId="14">OFFSET(#REF!,0,0,COUNT(#REF!),1)</definedName>
    <definedName name="MWGroup" localSheetId="15">OFFSET(#REF!,0,0,COUNT(#REF!),1)</definedName>
    <definedName name="MWGroup" localSheetId="16">OFFSET(#REF!,0,0,COUNT(#REF!),1)</definedName>
    <definedName name="MWGroup">OFFSET(#REF!,0,0,COUNT(#REF!),1)</definedName>
    <definedName name="MWRank" localSheetId="17">OFFSET(#REF!,0,0,COUNT(#REF!),1)</definedName>
    <definedName name="MWRank" localSheetId="18">OFFSET(#REF!,0,0,COUNT(#REF!),1)</definedName>
    <definedName name="MWRank" localSheetId="19">OFFSET(#REF!,0,0,COUNT(#REF!),1)</definedName>
    <definedName name="MWRank" localSheetId="20">OFFSET(#REF!,0,0,COUNT(#REF!),1)</definedName>
    <definedName name="MWRank" localSheetId="21">OFFSET(#REF!,0,0,COUNT(#REF!),1)</definedName>
    <definedName name="MWRank" localSheetId="23">OFFSET(#REF!,0,0,COUNT(#REF!),1)</definedName>
    <definedName name="MWRank" localSheetId="12">OFFSET(#REF!,0,0,COUNT(#REF!),1)</definedName>
    <definedName name="MWRank" localSheetId="13">OFFSET(#REF!,0,0,COUNT(#REF!),1)</definedName>
    <definedName name="MWRank" localSheetId="14">OFFSET(#REF!,0,0,COUNT(#REF!),1)</definedName>
    <definedName name="MWRank" localSheetId="15">OFFSET(#REF!,0,0,COUNT(#REF!),1)</definedName>
    <definedName name="MWRank" localSheetId="16">OFFSET(#REF!,0,0,COUNT(#REF!),1)</definedName>
    <definedName name="MWRank">OFFSET(#REF!,0,0,COUNT(#REF!),1)</definedName>
    <definedName name="n">ROWS(X)</definedName>
    <definedName name="_xlnm.Print_Area" localSheetId="4">'10.11'!$A$1:$F$24</definedName>
    <definedName name="_xlnm.Print_Area" localSheetId="5">'10.12'!$A$1:$F$24</definedName>
    <definedName name="_xlnm.Print_Area" localSheetId="6">'10.13'!$A$1:$F$24</definedName>
    <definedName name="_xlnm.Print_Area" localSheetId="7">'10.14'!$A$1:$F$24</definedName>
    <definedName name="_xlnm.Print_Area" localSheetId="8">'10.27'!$A$1:$G$24</definedName>
    <definedName name="_xlnm.Print_Area" localSheetId="9">'10.28'!$A$1:$G$24</definedName>
    <definedName name="_xlnm.Print_Area" localSheetId="10">'10.30'!$A$1:$G$24</definedName>
    <definedName name="_xlnm.Print_Area" localSheetId="11">'10.31'!$A$1:$G$24</definedName>
    <definedName name="_xlnm.Print_Area" localSheetId="0">'10.5'!$A$1:$G$24</definedName>
    <definedName name="_xlnm.Print_Area" localSheetId="1">'10.6'!$A$1:$G$24</definedName>
    <definedName name="_xlnm.Print_Area" localSheetId="2">'10.7'!$A$1:$G$24</definedName>
    <definedName name="_xlnm.Print_Area" localSheetId="3">'10.8'!$A$1:$G$24</definedName>
    <definedName name="_xlnm.Print_Area" localSheetId="17">'11.10'!$A$1:$F$28</definedName>
    <definedName name="_xlnm.Print_Area" localSheetId="18">'11.11'!$A$1:$F$28</definedName>
    <definedName name="_xlnm.Print_Area" localSheetId="19">'11.12'!$A$1:$F$28</definedName>
    <definedName name="_xlnm.Print_Area" localSheetId="20">'11.15'!$A$1:$H$33</definedName>
    <definedName name="_xlnm.Print_Area" localSheetId="21">'11.17'!$A$1:$H$33</definedName>
    <definedName name="_xlnm.Print_Area" localSheetId="22">'11.20'!$A$1:$K$28</definedName>
    <definedName name="_xlnm.Print_Area" localSheetId="23">'11.21'!$A$1:$K$28</definedName>
    <definedName name="_xlnm.Print_Area" localSheetId="24">'11.22'!$A$1:$K$28</definedName>
    <definedName name="_xlnm.Print_Area" localSheetId="12">'11.3'!$A$1:$F$24</definedName>
    <definedName name="_xlnm.Print_Area" localSheetId="13">'11.4'!$A$1:$F$24</definedName>
    <definedName name="_xlnm.Print_Area" localSheetId="14">'11.5'!$A$1:$F$24</definedName>
    <definedName name="_xlnm.Print_Area" localSheetId="15">'11.6'!$A$1:$F$24</definedName>
    <definedName name="_xlnm.Print_Area" localSheetId="16">'11.9'!$A$1:$F$28</definedName>
    <definedName name="_xlnm.Print_Area" localSheetId="27">'12.10a'!$A$3:$O$36</definedName>
    <definedName name="_xlnm.Print_Area" localSheetId="25">'12.9a'!$A$3:$O$36</definedName>
    <definedName name="_xlnm.Print_Area" localSheetId="31">'13.15a'!$A$1:$J$34</definedName>
    <definedName name="_xlnm.Print_Area" localSheetId="29">'13.5a'!$A$1:$J$34</definedName>
    <definedName name="Q">OFFSET(#REF!,0,0,n,1)</definedName>
    <definedName name="s">#REF!</definedName>
    <definedName name="S2B">MSE*XtXinv</definedName>
    <definedName name="SignData">OFFSET([1]Sign!$C$4,0,0,COUNTA([1]Sign!$C$4:$C$203),1)</definedName>
    <definedName name="X">OFFSET(#REF!,0,0,COUNT(#REF!),COUNT(#REF!))</definedName>
    <definedName name="X_Axis">#REF!</definedName>
    <definedName name="XR">OFFSET(X,0,0,n,#REF!-#REF!)</definedName>
    <definedName name="XtXinv">MINVERSE(MMULT(TRANSPOSE(MatX),MatX))</definedName>
    <definedName name="Y">OFFSET(#REF!,0,0,COUNT(#REF!),1)</definedName>
    <definedName name="Yhat">MMULT(MatX,B)</definedName>
    <definedName name="Z">OFFSET(#REF!,0,0,n,1)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3" i="97" l="1"/>
  <c r="E203" i="97" s="1"/>
  <c r="D202" i="97"/>
  <c r="E202" i="97" s="1"/>
  <c r="D201" i="97"/>
  <c r="E201" i="97" s="1"/>
  <c r="D200" i="97"/>
  <c r="E200" i="97" s="1"/>
  <c r="D199" i="97"/>
  <c r="E199" i="97" s="1"/>
  <c r="D198" i="97"/>
  <c r="E198" i="97" s="1"/>
  <c r="D197" i="97"/>
  <c r="E197" i="97" s="1"/>
  <c r="D196" i="97"/>
  <c r="E196" i="97" s="1"/>
  <c r="D195" i="97"/>
  <c r="E195" i="97" s="1"/>
  <c r="D194" i="97"/>
  <c r="E194" i="97" s="1"/>
  <c r="D193" i="97"/>
  <c r="E193" i="97" s="1"/>
  <c r="E192" i="97"/>
  <c r="D192" i="97"/>
  <c r="D191" i="97"/>
  <c r="E191" i="97" s="1"/>
  <c r="D190" i="97"/>
  <c r="E190" i="97" s="1"/>
  <c r="D189" i="97"/>
  <c r="E189" i="97" s="1"/>
  <c r="D188" i="97"/>
  <c r="E188" i="97" s="1"/>
  <c r="E187" i="97"/>
  <c r="D187" i="97"/>
  <c r="D186" i="97"/>
  <c r="E186" i="97" s="1"/>
  <c r="D185" i="97"/>
  <c r="E185" i="97" s="1"/>
  <c r="D184" i="97"/>
  <c r="E184" i="97" s="1"/>
  <c r="D183" i="97"/>
  <c r="E183" i="97" s="1"/>
  <c r="D182" i="97"/>
  <c r="E182" i="97" s="1"/>
  <c r="D181" i="97"/>
  <c r="E181" i="97" s="1"/>
  <c r="D180" i="97"/>
  <c r="E180" i="97" s="1"/>
  <c r="D179" i="97"/>
  <c r="E179" i="97" s="1"/>
  <c r="D178" i="97"/>
  <c r="E178" i="97" s="1"/>
  <c r="D177" i="97"/>
  <c r="E177" i="97" s="1"/>
  <c r="E176" i="97"/>
  <c r="D176" i="97"/>
  <c r="D175" i="97"/>
  <c r="E175" i="97" s="1"/>
  <c r="D174" i="97"/>
  <c r="E174" i="97" s="1"/>
  <c r="D173" i="97"/>
  <c r="E173" i="97" s="1"/>
  <c r="D172" i="97"/>
  <c r="E172" i="97" s="1"/>
  <c r="E171" i="97"/>
  <c r="D171" i="97"/>
  <c r="D170" i="97"/>
  <c r="E170" i="97" s="1"/>
  <c r="D169" i="97"/>
  <c r="E169" i="97" s="1"/>
  <c r="D168" i="97"/>
  <c r="E168" i="97" s="1"/>
  <c r="D167" i="97"/>
  <c r="E167" i="97" s="1"/>
  <c r="D166" i="97"/>
  <c r="E166" i="97" s="1"/>
  <c r="D165" i="97"/>
  <c r="E165" i="97" s="1"/>
  <c r="D164" i="97"/>
  <c r="E164" i="97" s="1"/>
  <c r="D163" i="97"/>
  <c r="E163" i="97" s="1"/>
  <c r="D162" i="97"/>
  <c r="E162" i="97" s="1"/>
  <c r="D161" i="97"/>
  <c r="E161" i="97" s="1"/>
  <c r="E160" i="97"/>
  <c r="D160" i="97"/>
  <c r="D159" i="97"/>
  <c r="E159" i="97" s="1"/>
  <c r="D158" i="97"/>
  <c r="E158" i="97" s="1"/>
  <c r="D157" i="97"/>
  <c r="E157" i="97" s="1"/>
  <c r="D156" i="97"/>
  <c r="E156" i="97" s="1"/>
  <c r="E155" i="97"/>
  <c r="D155" i="97"/>
  <c r="D154" i="97"/>
  <c r="E154" i="97" s="1"/>
  <c r="D153" i="97"/>
  <c r="E153" i="97" s="1"/>
  <c r="D152" i="97"/>
  <c r="E152" i="97" s="1"/>
  <c r="D151" i="97"/>
  <c r="E151" i="97" s="1"/>
  <c r="D150" i="97"/>
  <c r="E150" i="97" s="1"/>
  <c r="D149" i="97"/>
  <c r="E149" i="97" s="1"/>
  <c r="D148" i="97"/>
  <c r="E148" i="97" s="1"/>
  <c r="D147" i="97"/>
  <c r="E147" i="97" s="1"/>
  <c r="D146" i="97"/>
  <c r="E146" i="97" s="1"/>
  <c r="D145" i="97"/>
  <c r="E145" i="97" s="1"/>
  <c r="E144" i="97"/>
  <c r="D144" i="97"/>
  <c r="D143" i="97"/>
  <c r="E143" i="97" s="1"/>
  <c r="D142" i="97"/>
  <c r="E142" i="97" s="1"/>
  <c r="D141" i="97"/>
  <c r="E141" i="97" s="1"/>
  <c r="D140" i="97"/>
  <c r="E140" i="97" s="1"/>
  <c r="E139" i="97"/>
  <c r="D139" i="97"/>
  <c r="D138" i="97"/>
  <c r="E138" i="97" s="1"/>
  <c r="D137" i="97"/>
  <c r="E137" i="97" s="1"/>
  <c r="D136" i="97"/>
  <c r="E136" i="97" s="1"/>
  <c r="D135" i="97"/>
  <c r="E135" i="97" s="1"/>
  <c r="D134" i="97"/>
  <c r="E134" i="97" s="1"/>
  <c r="D133" i="97"/>
  <c r="E133" i="97" s="1"/>
  <c r="D132" i="97"/>
  <c r="E132" i="97" s="1"/>
  <c r="D131" i="97"/>
  <c r="E131" i="97" s="1"/>
  <c r="D130" i="97"/>
  <c r="E130" i="97" s="1"/>
  <c r="D129" i="97"/>
  <c r="E129" i="97" s="1"/>
  <c r="E128" i="97"/>
  <c r="D128" i="97"/>
  <c r="D127" i="97"/>
  <c r="E127" i="97" s="1"/>
  <c r="D126" i="97"/>
  <c r="E126" i="97" s="1"/>
  <c r="D125" i="97"/>
  <c r="E125" i="97" s="1"/>
  <c r="D124" i="97"/>
  <c r="E124" i="97" s="1"/>
  <c r="E123" i="97"/>
  <c r="D123" i="97"/>
  <c r="D122" i="97"/>
  <c r="E122" i="97" s="1"/>
  <c r="D121" i="97"/>
  <c r="E121" i="97" s="1"/>
  <c r="D120" i="97"/>
  <c r="E120" i="97" s="1"/>
  <c r="D119" i="97"/>
  <c r="E119" i="97" s="1"/>
  <c r="D118" i="97"/>
  <c r="E118" i="97" s="1"/>
  <c r="D117" i="97"/>
  <c r="E117" i="97" s="1"/>
  <c r="D116" i="97"/>
  <c r="E116" i="97" s="1"/>
  <c r="D115" i="97"/>
  <c r="E115" i="97" s="1"/>
  <c r="D114" i="97"/>
  <c r="E114" i="97" s="1"/>
  <c r="D113" i="97"/>
  <c r="E113" i="97" s="1"/>
  <c r="E112" i="97"/>
  <c r="D112" i="97"/>
  <c r="D111" i="97"/>
  <c r="E111" i="97" s="1"/>
  <c r="D110" i="97"/>
  <c r="E110" i="97" s="1"/>
  <c r="D109" i="97"/>
  <c r="E109" i="97" s="1"/>
  <c r="D108" i="97"/>
  <c r="E108" i="97" s="1"/>
  <c r="E107" i="97"/>
  <c r="D107" i="97"/>
  <c r="D106" i="97"/>
  <c r="E106" i="97" s="1"/>
  <c r="D105" i="97"/>
  <c r="E105" i="97" s="1"/>
  <c r="D104" i="97"/>
  <c r="E104" i="97" s="1"/>
  <c r="D103" i="97"/>
  <c r="E103" i="97" s="1"/>
  <c r="D102" i="97"/>
  <c r="E102" i="97" s="1"/>
  <c r="D101" i="97"/>
  <c r="E101" i="97" s="1"/>
  <c r="D100" i="97"/>
  <c r="E100" i="97" s="1"/>
  <c r="D99" i="97"/>
  <c r="E99" i="97" s="1"/>
  <c r="D98" i="97"/>
  <c r="E98" i="97" s="1"/>
  <c r="D97" i="97"/>
  <c r="E97" i="97" s="1"/>
  <c r="E96" i="97"/>
  <c r="D96" i="97"/>
  <c r="D95" i="97"/>
  <c r="E95" i="97" s="1"/>
  <c r="D94" i="97"/>
  <c r="E94" i="97" s="1"/>
  <c r="D93" i="97"/>
  <c r="E93" i="97" s="1"/>
  <c r="D92" i="97"/>
  <c r="E92" i="97" s="1"/>
  <c r="E91" i="97"/>
  <c r="D91" i="97"/>
  <c r="D90" i="97"/>
  <c r="E90" i="97" s="1"/>
  <c r="D89" i="97"/>
  <c r="E89" i="97" s="1"/>
  <c r="D88" i="97"/>
  <c r="E88" i="97" s="1"/>
  <c r="D87" i="97"/>
  <c r="E87" i="97" s="1"/>
  <c r="D86" i="97"/>
  <c r="E86" i="97" s="1"/>
  <c r="D85" i="97"/>
  <c r="E85" i="97" s="1"/>
  <c r="D84" i="97"/>
  <c r="E84" i="97" s="1"/>
  <c r="D83" i="97"/>
  <c r="E83" i="97" s="1"/>
  <c r="D82" i="97"/>
  <c r="E82" i="97" s="1"/>
  <c r="D81" i="97"/>
  <c r="E81" i="97" s="1"/>
  <c r="E80" i="97"/>
  <c r="D80" i="97"/>
  <c r="D79" i="97"/>
  <c r="E79" i="97" s="1"/>
  <c r="D78" i="97"/>
  <c r="E78" i="97" s="1"/>
  <c r="D77" i="97"/>
  <c r="E77" i="97" s="1"/>
  <c r="D76" i="97"/>
  <c r="E76" i="97" s="1"/>
  <c r="E75" i="97"/>
  <c r="D75" i="97"/>
  <c r="D74" i="97"/>
  <c r="E74" i="97" s="1"/>
  <c r="D73" i="97"/>
  <c r="E73" i="97" s="1"/>
  <c r="D72" i="97"/>
  <c r="E72" i="97" s="1"/>
  <c r="D71" i="97"/>
  <c r="E71" i="97" s="1"/>
  <c r="D70" i="97"/>
  <c r="E70" i="97" s="1"/>
  <c r="D69" i="97"/>
  <c r="E69" i="97" s="1"/>
  <c r="D68" i="97"/>
  <c r="E68" i="97" s="1"/>
  <c r="D67" i="97"/>
  <c r="E67" i="97" s="1"/>
  <c r="D66" i="97"/>
  <c r="E66" i="97" s="1"/>
  <c r="D65" i="97"/>
  <c r="E65" i="97" s="1"/>
  <c r="E64" i="97"/>
  <c r="D64" i="97"/>
  <c r="D63" i="97"/>
  <c r="E63" i="97" s="1"/>
  <c r="D62" i="97"/>
  <c r="E62" i="97" s="1"/>
  <c r="D61" i="97"/>
  <c r="E61" i="97" s="1"/>
  <c r="D60" i="97"/>
  <c r="E60" i="97" s="1"/>
  <c r="E59" i="97"/>
  <c r="D59" i="97"/>
  <c r="D58" i="97"/>
  <c r="E58" i="97" s="1"/>
  <c r="D57" i="97"/>
  <c r="E57" i="97" s="1"/>
  <c r="D56" i="97"/>
  <c r="E56" i="97" s="1"/>
  <c r="D55" i="97"/>
  <c r="E55" i="97" s="1"/>
  <c r="D54" i="97"/>
  <c r="E54" i="97" s="1"/>
  <c r="D53" i="97"/>
  <c r="E53" i="97" s="1"/>
  <c r="D52" i="97"/>
  <c r="E52" i="97" s="1"/>
  <c r="D51" i="97"/>
  <c r="E51" i="97" s="1"/>
  <c r="D50" i="97"/>
  <c r="E50" i="97" s="1"/>
  <c r="D49" i="97"/>
  <c r="E49" i="97" s="1"/>
  <c r="E48" i="97"/>
  <c r="D48" i="97"/>
  <c r="D47" i="97"/>
  <c r="E47" i="97" s="1"/>
  <c r="D46" i="97"/>
  <c r="E46" i="97" s="1"/>
  <c r="D45" i="97"/>
  <c r="E45" i="97" s="1"/>
  <c r="D44" i="97"/>
  <c r="E44" i="97" s="1"/>
  <c r="E43" i="97"/>
  <c r="D43" i="97"/>
  <c r="D42" i="97"/>
  <c r="E42" i="97" s="1"/>
  <c r="D41" i="97"/>
  <c r="E41" i="97" s="1"/>
  <c r="D40" i="97"/>
  <c r="E40" i="97" s="1"/>
  <c r="D39" i="97"/>
  <c r="E39" i="97" s="1"/>
  <c r="D38" i="97"/>
  <c r="E38" i="97" s="1"/>
  <c r="D37" i="97"/>
  <c r="E37" i="97" s="1"/>
  <c r="D36" i="97"/>
  <c r="E36" i="97" s="1"/>
  <c r="D35" i="97"/>
  <c r="E35" i="97" s="1"/>
  <c r="D34" i="97"/>
  <c r="E34" i="97" s="1"/>
  <c r="D33" i="97"/>
  <c r="E33" i="97" s="1"/>
  <c r="E32" i="97"/>
  <c r="D32" i="97"/>
  <c r="D31" i="97"/>
  <c r="E31" i="97" s="1"/>
  <c r="D30" i="97"/>
  <c r="E30" i="97" s="1"/>
  <c r="D29" i="97"/>
  <c r="E29" i="97" s="1"/>
  <c r="D28" i="97"/>
  <c r="E28" i="97" s="1"/>
  <c r="E27" i="97"/>
  <c r="D27" i="97"/>
  <c r="D26" i="97"/>
  <c r="E26" i="97" s="1"/>
  <c r="D25" i="97"/>
  <c r="E25" i="97" s="1"/>
  <c r="D24" i="97"/>
  <c r="E24" i="97" s="1"/>
  <c r="D23" i="97"/>
  <c r="E23" i="97" s="1"/>
  <c r="D22" i="97"/>
  <c r="E22" i="97" s="1"/>
  <c r="D21" i="97"/>
  <c r="E21" i="97" s="1"/>
  <c r="D20" i="97"/>
  <c r="E20" i="97" s="1"/>
  <c r="H12" i="97"/>
  <c r="D19" i="97"/>
  <c r="E19" i="97" s="1"/>
  <c r="D18" i="97"/>
  <c r="E18" i="97" s="1"/>
  <c r="E17" i="97"/>
  <c r="D17" i="97"/>
  <c r="D16" i="97"/>
  <c r="E16" i="97" s="1"/>
  <c r="D15" i="97"/>
  <c r="E15" i="97" s="1"/>
  <c r="D14" i="97"/>
  <c r="E14" i="97" s="1"/>
  <c r="D13" i="97"/>
  <c r="E13" i="97" s="1"/>
  <c r="D12" i="97"/>
  <c r="E12" i="97" s="1"/>
  <c r="D11" i="97"/>
  <c r="E11" i="97" s="1"/>
  <c r="D10" i="97"/>
  <c r="E10" i="97" s="1"/>
  <c r="D9" i="97"/>
  <c r="E9" i="97" s="1"/>
  <c r="G8" i="97"/>
  <c r="D8" i="97"/>
  <c r="E8" i="97" s="1"/>
  <c r="D7" i="97"/>
  <c r="E7" i="97" s="1"/>
  <c r="D6" i="97"/>
  <c r="E6" i="97" s="1"/>
  <c r="D5" i="97"/>
  <c r="E5" i="97" s="1"/>
  <c r="D4" i="97"/>
  <c r="E4" i="97" s="1"/>
  <c r="F8" i="96"/>
  <c r="E8" i="96"/>
  <c r="F7" i="96"/>
  <c r="E7" i="96"/>
  <c r="F6" i="96"/>
  <c r="E6" i="96"/>
  <c r="F5" i="96"/>
  <c r="E5" i="96"/>
  <c r="F8" i="95"/>
  <c r="E8" i="95"/>
  <c r="F7" i="95"/>
  <c r="E7" i="95"/>
  <c r="F6" i="95"/>
  <c r="E6" i="95"/>
  <c r="F5" i="95"/>
  <c r="E5" i="95"/>
  <c r="C18" i="93"/>
  <c r="B18" i="93"/>
  <c r="B12" i="93"/>
  <c r="C10" i="93"/>
  <c r="B10" i="93"/>
  <c r="B18" i="92"/>
  <c r="B12" i="92"/>
  <c r="C10" i="92"/>
  <c r="B10" i="92"/>
  <c r="C18" i="91"/>
  <c r="B18" i="91"/>
  <c r="B12" i="91"/>
  <c r="C10" i="91"/>
  <c r="B10" i="91"/>
  <c r="C18" i="90"/>
  <c r="B12" i="90"/>
  <c r="C10" i="90"/>
  <c r="B10" i="90"/>
  <c r="C17" i="89"/>
  <c r="B17" i="89"/>
  <c r="B11" i="89"/>
  <c r="B12" i="89" s="1"/>
  <c r="D17" i="89" s="1"/>
  <c r="E17" i="89" s="1"/>
  <c r="C17" i="88"/>
  <c r="B17" i="88"/>
  <c r="B11" i="88"/>
  <c r="B12" i="88" s="1"/>
  <c r="C17" i="87"/>
  <c r="B11" i="87"/>
  <c r="B12" i="87" s="1"/>
  <c r="B17" i="86"/>
  <c r="B11" i="86"/>
  <c r="B12" i="86" s="1"/>
  <c r="H5" i="97" l="1"/>
  <c r="H6" i="97" s="1"/>
  <c r="F18" i="96"/>
  <c r="E10" i="96"/>
  <c r="E11" i="96" s="1"/>
  <c r="E10" i="95"/>
  <c r="E11" i="95" s="1"/>
  <c r="E17" i="95"/>
  <c r="B13" i="93"/>
  <c r="D18" i="93" s="1"/>
  <c r="E18" i="93" s="1"/>
  <c r="B13" i="90"/>
  <c r="D18" i="90" s="1"/>
  <c r="E18" i="90" s="1"/>
  <c r="B13" i="92"/>
  <c r="D18" i="92" s="1"/>
  <c r="E18" i="92" s="1"/>
  <c r="B13" i="91"/>
  <c r="D17" i="88"/>
  <c r="E17" i="88" s="1"/>
  <c r="D17" i="87"/>
  <c r="E17" i="87" s="1"/>
  <c r="D17" i="86"/>
  <c r="E17" i="86" s="1"/>
  <c r="A15" i="85"/>
  <c r="C14" i="85"/>
  <c r="B14" i="85"/>
  <c r="B9" i="85"/>
  <c r="D14" i="85" s="1"/>
  <c r="E14" i="85" s="1"/>
  <c r="A15" i="84"/>
  <c r="C14" i="84"/>
  <c r="B9" i="84"/>
  <c r="D14" i="84" s="1"/>
  <c r="E14" i="84" s="1"/>
  <c r="A15" i="82"/>
  <c r="C14" i="82"/>
  <c r="B9" i="82"/>
  <c r="D14" i="82" s="1"/>
  <c r="E14" i="82" s="1"/>
  <c r="A15" i="81"/>
  <c r="B14" i="81"/>
  <c r="B9" i="81"/>
  <c r="D14" i="81" s="1"/>
  <c r="E14" i="81" s="1"/>
  <c r="J12" i="97" l="1"/>
  <c r="K12" i="97" s="1"/>
  <c r="G18" i="96"/>
  <c r="H18" i="96" s="1"/>
  <c r="G17" i="95"/>
  <c r="H17" i="95" s="1"/>
  <c r="D18" i="91"/>
  <c r="E18" i="91" s="1"/>
  <c r="A16" i="79"/>
  <c r="B15" i="79"/>
  <c r="B8" i="79"/>
  <c r="B10" i="79" s="1"/>
  <c r="D15" i="79" s="1"/>
  <c r="E15" i="79" s="1"/>
  <c r="B15" i="78"/>
  <c r="A16" i="78"/>
  <c r="B8" i="78"/>
  <c r="B10" i="78" s="1"/>
  <c r="D15" i="78" s="1"/>
  <c r="A16" i="77"/>
  <c r="C15" i="77"/>
  <c r="B8" i="77"/>
  <c r="B10" i="77" s="1"/>
  <c r="D15" i="77" s="1"/>
  <c r="E15" i="77" s="1"/>
  <c r="A16" i="75"/>
  <c r="C14" i="76"/>
  <c r="A15" i="76"/>
  <c r="A15" i="74"/>
  <c r="A15" i="73"/>
  <c r="A15" i="72"/>
  <c r="B9" i="76"/>
  <c r="D14" i="76" s="1"/>
  <c r="E14" i="76" s="1"/>
  <c r="E15" i="78" l="1"/>
  <c r="C15" i="75" l="1"/>
  <c r="B8" i="75"/>
  <c r="B10" i="75" s="1"/>
  <c r="D15" i="75" s="1"/>
  <c r="E15" i="75" s="1"/>
  <c r="B14" i="74"/>
  <c r="B9" i="74"/>
  <c r="D14" i="74" s="1"/>
  <c r="E14" i="74" s="1"/>
  <c r="B14" i="73"/>
  <c r="B9" i="73"/>
  <c r="D14" i="73" s="1"/>
  <c r="E14" i="73" s="1"/>
  <c r="C14" i="72"/>
  <c r="B14" i="72"/>
  <c r="B9" i="72"/>
  <c r="D14" i="72" s="1"/>
  <c r="E14" i="72" s="1"/>
  <c r="A7" i="55" l="1"/>
  <c r="C31" i="55"/>
  <c r="F4" i="54"/>
  <c r="G32" i="54" s="1"/>
  <c r="G31" i="54" s="1"/>
  <c r="F5" i="54"/>
  <c r="C32" i="55" s="1"/>
  <c r="A7" i="53"/>
  <c r="C31" i="53"/>
  <c r="F4" i="52"/>
  <c r="G32" i="52" s="1"/>
  <c r="G31" i="52" s="1"/>
  <c r="J30" i="52" s="1"/>
  <c r="F5" i="52"/>
  <c r="F6" i="52" s="1"/>
  <c r="M3" i="48"/>
  <c r="G5" i="48"/>
  <c r="G30" i="48" s="1"/>
  <c r="H5" i="48"/>
  <c r="K5" i="48" s="1"/>
  <c r="N5" i="48" s="1"/>
  <c r="I5" i="48"/>
  <c r="G6" i="48"/>
  <c r="G31" i="48" s="1"/>
  <c r="H6" i="48"/>
  <c r="J6" i="48" s="1"/>
  <c r="I6" i="48"/>
  <c r="K6" i="48"/>
  <c r="T6" i="48" s="1"/>
  <c r="G7" i="48"/>
  <c r="H7" i="48"/>
  <c r="I7" i="48"/>
  <c r="U7" i="48"/>
  <c r="G8" i="48"/>
  <c r="H8" i="48"/>
  <c r="M8" i="48" s="1"/>
  <c r="I8" i="48"/>
  <c r="N8" i="48"/>
  <c r="T8" i="48"/>
  <c r="U8" i="48"/>
  <c r="G9" i="48"/>
  <c r="H9" i="48"/>
  <c r="I9" i="48"/>
  <c r="J9" i="48"/>
  <c r="K9" i="48"/>
  <c r="N9" i="48"/>
  <c r="T9" i="48"/>
  <c r="U9" i="48"/>
  <c r="G29" i="48"/>
  <c r="G32" i="48"/>
  <c r="G35" i="48"/>
  <c r="G36" i="48"/>
  <c r="M3" i="46"/>
  <c r="G5" i="46"/>
  <c r="U5" i="46" s="1"/>
  <c r="H5" i="46"/>
  <c r="I5" i="46"/>
  <c r="G6" i="46"/>
  <c r="G34" i="46" s="1"/>
  <c r="H6" i="46"/>
  <c r="K6" i="46" s="1"/>
  <c r="I6" i="46"/>
  <c r="U6" i="46"/>
  <c r="G7" i="46"/>
  <c r="G35" i="46" s="1"/>
  <c r="H7" i="46"/>
  <c r="I7" i="46"/>
  <c r="G8" i="46"/>
  <c r="H8" i="46"/>
  <c r="I8" i="46"/>
  <c r="U8" i="46"/>
  <c r="G9" i="46"/>
  <c r="G36" i="46" s="1"/>
  <c r="H9" i="46"/>
  <c r="K9" i="46" s="1"/>
  <c r="I9" i="46"/>
  <c r="G31" i="46"/>
  <c r="D4" i="43"/>
  <c r="E4" i="43" s="1"/>
  <c r="D5" i="43"/>
  <c r="E5" i="43" s="1"/>
  <c r="D6" i="43"/>
  <c r="E6" i="43" s="1"/>
  <c r="D7" i="43"/>
  <c r="E7" i="43" s="1"/>
  <c r="D8" i="43"/>
  <c r="E8" i="43" s="1"/>
  <c r="G8" i="43"/>
  <c r="D9" i="43"/>
  <c r="E9" i="43" s="1"/>
  <c r="D10" i="43"/>
  <c r="E10" i="43" s="1"/>
  <c r="D11" i="43"/>
  <c r="E11" i="43" s="1"/>
  <c r="D12" i="43"/>
  <c r="E12" i="43"/>
  <c r="D13" i="43"/>
  <c r="E13" i="43"/>
  <c r="I13" i="43"/>
  <c r="D14" i="43"/>
  <c r="E14" i="43"/>
  <c r="D15" i="43"/>
  <c r="E15" i="43"/>
  <c r="D16" i="43"/>
  <c r="E16" i="43" s="1"/>
  <c r="D17" i="43"/>
  <c r="E17" i="43" s="1"/>
  <c r="D18" i="43"/>
  <c r="E18" i="43"/>
  <c r="D19" i="43"/>
  <c r="E19" i="43"/>
  <c r="D20" i="43"/>
  <c r="E20" i="43"/>
  <c r="D21" i="43"/>
  <c r="E21" i="43" s="1"/>
  <c r="D22" i="43"/>
  <c r="E22" i="43"/>
  <c r="D23" i="43"/>
  <c r="E23" i="43"/>
  <c r="D24" i="43"/>
  <c r="E24" i="43" s="1"/>
  <c r="D25" i="43"/>
  <c r="E25" i="43" s="1"/>
  <c r="D26" i="43"/>
  <c r="E26" i="43"/>
  <c r="D27" i="43"/>
  <c r="E27" i="43"/>
  <c r="D28" i="43"/>
  <c r="E28" i="43"/>
  <c r="D4" i="42"/>
  <c r="E4" i="42" s="1"/>
  <c r="D5" i="42"/>
  <c r="E5" i="42" s="1"/>
  <c r="D6" i="42"/>
  <c r="E6" i="42" s="1"/>
  <c r="D7" i="42"/>
  <c r="E7" i="42" s="1"/>
  <c r="D8" i="42"/>
  <c r="E8" i="42" s="1"/>
  <c r="G8" i="42"/>
  <c r="D9" i="42"/>
  <c r="E9" i="42"/>
  <c r="D10" i="42"/>
  <c r="E10" i="42" s="1"/>
  <c r="D11" i="42"/>
  <c r="E11" i="42" s="1"/>
  <c r="D12" i="42"/>
  <c r="E12" i="42" s="1"/>
  <c r="D13" i="42"/>
  <c r="E13" i="42"/>
  <c r="H13" i="42"/>
  <c r="I13" i="42"/>
  <c r="D14" i="42"/>
  <c r="E14" i="42"/>
  <c r="D15" i="42"/>
  <c r="E15" i="42" s="1"/>
  <c r="D16" i="42"/>
  <c r="E16" i="42"/>
  <c r="D17" i="42"/>
  <c r="E17" i="42"/>
  <c r="D18" i="42"/>
  <c r="E18" i="42"/>
  <c r="D19" i="42"/>
  <c r="E19" i="42" s="1"/>
  <c r="D20" i="42"/>
  <c r="E20" i="42"/>
  <c r="D21" i="42"/>
  <c r="E21" i="42"/>
  <c r="D22" i="42"/>
  <c r="E22" i="42"/>
  <c r="D23" i="42"/>
  <c r="E23" i="42" s="1"/>
  <c r="D24" i="42"/>
  <c r="E24" i="42"/>
  <c r="D25" i="42"/>
  <c r="E25" i="42"/>
  <c r="D26" i="42"/>
  <c r="E26" i="42"/>
  <c r="D27" i="42"/>
  <c r="E27" i="42" s="1"/>
  <c r="D28" i="42"/>
  <c r="E28" i="42"/>
  <c r="M9" i="48"/>
  <c r="T9" i="46"/>
  <c r="J9" i="46"/>
  <c r="K8" i="46"/>
  <c r="N8" i="46" s="1"/>
  <c r="J8" i="46"/>
  <c r="H36" i="46" s="1"/>
  <c r="J5" i="46"/>
  <c r="X8" i="46"/>
  <c r="X9" i="46"/>
  <c r="N9" i="46"/>
  <c r="T8" i="46"/>
  <c r="M9" i="46"/>
  <c r="M8" i="46"/>
  <c r="F10" i="54" l="1"/>
  <c r="F6" i="54"/>
  <c r="J32" i="53"/>
  <c r="F7" i="52"/>
  <c r="H31" i="52" s="1"/>
  <c r="F31" i="52" s="1"/>
  <c r="F32" i="52" s="1"/>
  <c r="F30" i="52" s="1"/>
  <c r="H30" i="52" s="1"/>
  <c r="I30" i="52" s="1"/>
  <c r="C32" i="53"/>
  <c r="F10" i="52"/>
  <c r="F11" i="52" s="1"/>
  <c r="F24" i="52"/>
  <c r="F25" i="52" s="1"/>
  <c r="F27" i="52" s="1"/>
  <c r="J7" i="48"/>
  <c r="H32" i="48" s="1"/>
  <c r="N6" i="48"/>
  <c r="K8" i="48"/>
  <c r="K7" i="48"/>
  <c r="H34" i="48"/>
  <c r="J8" i="48"/>
  <c r="X6" i="48"/>
  <c r="I13" i="48"/>
  <c r="H18" i="48" s="1"/>
  <c r="T5" i="48"/>
  <c r="I16" i="48"/>
  <c r="J5" i="48"/>
  <c r="M5" i="48" s="1"/>
  <c r="M6" i="48"/>
  <c r="H36" i="48"/>
  <c r="X9" i="48"/>
  <c r="M7" i="48"/>
  <c r="G27" i="48"/>
  <c r="G34" i="48"/>
  <c r="U6" i="48"/>
  <c r="G33" i="48"/>
  <c r="U5" i="48"/>
  <c r="G28" i="48"/>
  <c r="J7" i="46"/>
  <c r="H35" i="46" s="1"/>
  <c r="K7" i="46"/>
  <c r="T7" i="46" s="1"/>
  <c r="I13" i="46"/>
  <c r="H18" i="46" s="1"/>
  <c r="I16" i="46"/>
  <c r="M5" i="46"/>
  <c r="K5" i="46"/>
  <c r="U9" i="46"/>
  <c r="U7" i="46"/>
  <c r="X7" i="46"/>
  <c r="J6" i="46"/>
  <c r="H5" i="42"/>
  <c r="H6" i="42" s="1"/>
  <c r="J13" i="42" s="1"/>
  <c r="K13" i="42" s="1"/>
  <c r="J30" i="54"/>
  <c r="T6" i="46"/>
  <c r="N6" i="46"/>
  <c r="H30" i="46"/>
  <c r="H29" i="46"/>
  <c r="H33" i="46"/>
  <c r="X5" i="46"/>
  <c r="H33" i="48"/>
  <c r="H30" i="48"/>
  <c r="G29" i="46"/>
  <c r="G32" i="46"/>
  <c r="G28" i="46"/>
  <c r="G27" i="46"/>
  <c r="G30" i="46"/>
  <c r="G33" i="46"/>
  <c r="H5" i="43"/>
  <c r="H6" i="43" s="1"/>
  <c r="J13" i="43" s="1"/>
  <c r="K13" i="43" s="1"/>
  <c r="F11" i="54" l="1"/>
  <c r="F24" i="54"/>
  <c r="F25" i="54" s="1"/>
  <c r="F7" i="54"/>
  <c r="J32" i="55"/>
  <c r="F19" i="52"/>
  <c r="H19" i="52"/>
  <c r="F26" i="52"/>
  <c r="H18" i="52"/>
  <c r="F17" i="52"/>
  <c r="E12" i="52"/>
  <c r="C1" i="53" s="1"/>
  <c r="F18" i="52"/>
  <c r="X7" i="48"/>
  <c r="H35" i="48"/>
  <c r="H29" i="48"/>
  <c r="I14" i="48"/>
  <c r="L13" i="48" s="1"/>
  <c r="H31" i="48"/>
  <c r="X8" i="48"/>
  <c r="H28" i="48"/>
  <c r="X5" i="48"/>
  <c r="H27" i="48"/>
  <c r="T7" i="48"/>
  <c r="T10" i="48" s="1"/>
  <c r="N7" i="48"/>
  <c r="H14" i="48" s="1"/>
  <c r="H13" i="48"/>
  <c r="J13" i="48" s="1"/>
  <c r="H32" i="46"/>
  <c r="H28" i="46"/>
  <c r="M7" i="46"/>
  <c r="N7" i="46"/>
  <c r="I14" i="46"/>
  <c r="L13" i="46" s="1"/>
  <c r="T5" i="46"/>
  <c r="N5" i="46"/>
  <c r="M6" i="46"/>
  <c r="H13" i="46" s="1"/>
  <c r="J13" i="46" s="1"/>
  <c r="X6" i="46"/>
  <c r="H31" i="46"/>
  <c r="H27" i="46"/>
  <c r="H34" i="46"/>
  <c r="F19" i="54" l="1"/>
  <c r="E12" i="54"/>
  <c r="C1" i="55" s="1"/>
  <c r="H31" i="54"/>
  <c r="F31" i="54" s="1"/>
  <c r="F32" i="54" s="1"/>
  <c r="F30" i="54" s="1"/>
  <c r="H30" i="54" s="1"/>
  <c r="I30" i="54" s="1"/>
  <c r="H19" i="54"/>
  <c r="H18" i="54"/>
  <c r="F18" i="54"/>
  <c r="F17" i="54"/>
  <c r="F26" i="54"/>
  <c r="F27" i="54"/>
  <c r="J14" i="48"/>
  <c r="I31" i="48"/>
  <c r="J27" i="48"/>
  <c r="I34" i="48"/>
  <c r="J36" i="48"/>
  <c r="J32" i="48"/>
  <c r="J33" i="48"/>
  <c r="J29" i="48"/>
  <c r="J31" i="48"/>
  <c r="J35" i="48"/>
  <c r="J30" i="48"/>
  <c r="H16" i="48"/>
  <c r="I32" i="48"/>
  <c r="K32" i="48" s="1"/>
  <c r="J28" i="48"/>
  <c r="I35" i="48"/>
  <c r="I29" i="48"/>
  <c r="I30" i="48"/>
  <c r="I33" i="48"/>
  <c r="I36" i="48"/>
  <c r="K36" i="48" s="1"/>
  <c r="I28" i="48"/>
  <c r="I27" i="48"/>
  <c r="K13" i="48"/>
  <c r="H22" i="48" s="1"/>
  <c r="V7" i="48"/>
  <c r="V9" i="48"/>
  <c r="V6" i="48"/>
  <c r="W8" i="48"/>
  <c r="V8" i="48"/>
  <c r="W9" i="48"/>
  <c r="W5" i="48"/>
  <c r="W7" i="48"/>
  <c r="V5" i="48"/>
  <c r="W6" i="48"/>
  <c r="J34" i="48"/>
  <c r="K34" i="48" s="1"/>
  <c r="H14" i="46"/>
  <c r="J14" i="46" s="1"/>
  <c r="T10" i="46"/>
  <c r="W7" i="46" s="1"/>
  <c r="K31" i="48" l="1"/>
  <c r="H21" i="48"/>
  <c r="K33" i="48"/>
  <c r="K30" i="48"/>
  <c r="K27" i="48"/>
  <c r="K29" i="48"/>
  <c r="K35" i="48"/>
  <c r="K28" i="48"/>
  <c r="V8" i="46"/>
  <c r="V9" i="46"/>
  <c r="W5" i="46"/>
  <c r="W9" i="46"/>
  <c r="V5" i="46"/>
  <c r="V7" i="46"/>
  <c r="V6" i="46"/>
  <c r="W8" i="46"/>
  <c r="W6" i="46"/>
  <c r="K13" i="46"/>
  <c r="J36" i="46"/>
  <c r="I33" i="46"/>
  <c r="J27" i="46"/>
  <c r="J29" i="46"/>
  <c r="J31" i="46"/>
  <c r="J28" i="46"/>
  <c r="I36" i="46"/>
  <c r="I28" i="46"/>
  <c r="J30" i="46"/>
  <c r="H16" i="46"/>
  <c r="H21" i="46"/>
  <c r="H22" i="46"/>
  <c r="I34" i="46"/>
  <c r="I32" i="46"/>
  <c r="J35" i="46"/>
  <c r="I31" i="46"/>
  <c r="J33" i="46"/>
  <c r="K33" i="46" s="1"/>
  <c r="J32" i="46"/>
  <c r="I29" i="46"/>
  <c r="I35" i="46"/>
  <c r="I30" i="46"/>
  <c r="I27" i="46"/>
  <c r="K27" i="46" s="1"/>
  <c r="J34" i="46"/>
  <c r="K29" i="46" l="1"/>
  <c r="K36" i="46"/>
  <c r="K28" i="46"/>
  <c r="K30" i="46"/>
  <c r="K31" i="46"/>
  <c r="K34" i="46"/>
  <c r="K32" i="46"/>
  <c r="K35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This is the mean of the sample that is being compared to the hypothesized value.</t>
        </r>
      </text>
    </comment>
    <comment ref="B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If the sample size is less than 30, the statistic is the t-score.  If the sample size is greater than 30, the statistic is the z-score.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512B7AD9-8A0E-4516-96AA-C5612C03FFEE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9CF083B4-2088-4C2C-B216-6B6103BDDBD6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6" authorId="0" shapeId="0" xr:uid="{4BD7FAFF-AF70-4669-8F96-B8C31A0AC539}">
      <text>
        <r>
          <rPr>
            <b/>
            <sz val="8"/>
            <color indexed="81"/>
            <rFont val="Tahoma"/>
            <family val="2"/>
          </rPr>
          <t>This is the mean of the sample that is being compared to the hypothesized value.</t>
        </r>
      </text>
    </comment>
    <comment ref="B9" authorId="0" shapeId="0" xr:uid="{F94B5770-2305-4F64-85CD-7A11205867DE}">
      <text>
        <r>
          <rPr>
            <b/>
            <sz val="8"/>
            <color indexed="81"/>
            <rFont val="Tahoma"/>
            <family val="2"/>
          </rPr>
          <t>If the sample size is less than 30, the statistic is the t-score.  If the sample size is greater than 30, the statistic is the z-score.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C5358F10-5A3D-40E0-A0AF-8B89F74B6E8D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2" authorId="0" shapeId="0" xr:uid="{70E5B3ED-1975-4249-B3FD-686D43096B69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2" authorId="0" shapeId="0" xr:uid="{4615A6D0-0E19-43DF-93DA-1F25881F9638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D8FC70D5-A050-45FD-BAF1-D86062E6BE80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7F5083F5-EE9D-4BFD-81A0-D9F6EF55A49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6" authorId="0" shapeId="0" xr:uid="{C198349D-40BE-4BD5-B77B-B442CB1C2FF5}">
      <text>
        <r>
          <rPr>
            <b/>
            <sz val="8"/>
            <color indexed="81"/>
            <rFont val="Tahoma"/>
            <family val="2"/>
          </rPr>
          <t>This is the mean of the sample that is being compared to the hypothesized value.</t>
        </r>
      </text>
    </comment>
    <comment ref="B9" authorId="0" shapeId="0" xr:uid="{AA6B4D03-F893-4B1F-81CE-E4BE41D5A40F}">
      <text>
        <r>
          <rPr>
            <b/>
            <sz val="8"/>
            <color indexed="81"/>
            <rFont val="Tahoma"/>
            <family val="2"/>
          </rPr>
          <t>If the sample size is less than 30, the statistic is the t-score.  If the sample size is greater than 30, the statistic is the z-score.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C86DC369-560B-491E-BE55-2881842913FB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2" authorId="0" shapeId="0" xr:uid="{4756759A-8C09-43BE-BF03-9347ED2EA39B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2" authorId="0" shapeId="0" xr:uid="{359F8526-B1FB-4E24-BF3D-FC723C787B89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61149A11-D724-407A-9FB4-49988BE73823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9865CE76-BE9F-4F30-91AB-D4BE90E4AFC1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6" authorId="0" shapeId="0" xr:uid="{802FA28B-F812-4E8B-8C81-01101458F312}">
      <text>
        <r>
          <rPr>
            <b/>
            <sz val="8"/>
            <color indexed="81"/>
            <rFont val="Tahoma"/>
            <family val="2"/>
          </rPr>
          <t>This is the mean of the sample that is being compared to the hypothesized value.</t>
        </r>
      </text>
    </comment>
    <comment ref="B9" authorId="0" shapeId="0" xr:uid="{91525F53-931D-4D37-B5EE-53351520B073}">
      <text>
        <r>
          <rPr>
            <b/>
            <sz val="8"/>
            <color indexed="81"/>
            <rFont val="Tahoma"/>
            <family val="2"/>
          </rPr>
          <t>If the sample size is less than 30, the statistic is the t-score.  If the sample size is greater than 30, the statistic is the z-score.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83A1B51E-D2F9-4365-9B6D-D787EF845374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2" authorId="0" shapeId="0" xr:uid="{78183E52-E1D2-4F0E-9E14-1E06B6659B5E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2" authorId="0" shapeId="0" xr:uid="{4E2C0BBB-26BF-4F29-94EE-34283DAF4B8A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B3" authorId="0" shapeId="0" xr:uid="{190CB2F1-1163-4FA2-B8C4-666B8F11A4AD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5" authorId="0" shapeId="0" xr:uid="{BBB94A74-DE31-4364-8D08-F2198AFB8BB7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5" authorId="1" shapeId="0" xr:uid="{60F07034-FCD0-4FFA-93DF-D5425B725F9D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B3" authorId="0" shapeId="0" xr:uid="{F723E062-D687-49C0-93E1-4B4FF2CD67C4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5" authorId="0" shapeId="0" xr:uid="{8BFDC65C-F3F6-4422-92C8-718035BD9C18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5" authorId="1" shapeId="0" xr:uid="{A141DBE6-9F4A-4E73-AF23-E9CE6C1219B5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B3" authorId="0" shapeId="0" xr:uid="{798580CD-5086-4D41-A838-0DE202D3598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5" authorId="0" shapeId="0" xr:uid="{0E3350BC-7145-4849-9D7D-545EA6C5EB4C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5" authorId="1" shapeId="0" xr:uid="{0430E107-A842-4342-B8FE-AC628466F346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B3" authorId="0" shapeId="0" xr:uid="{62F09438-74BD-4B78-B504-C42128BC5929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5" authorId="0" shapeId="0" xr:uid="{DF151DA1-5374-416E-B556-8EA4021D7C35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5" authorId="1" shapeId="0" xr:uid="{0ADA0614-4CEC-4378-9A87-FCAEAE378374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B3" authorId="0" shapeId="0" xr:uid="{9AF858F1-11D4-48CA-9D32-FD51F29A64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6" authorId="0" shapeId="0" xr:uid="{C293DBF3-D372-44C1-995C-21740E29546E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6" authorId="1" shapeId="0" xr:uid="{272BDA13-2590-4D45-8430-1D23AF82E19E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B3" authorId="0" shapeId="0" xr:uid="{939E9630-81F8-430D-A764-1E2C5ED71A74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6" authorId="0" shapeId="0" xr:uid="{72189617-D857-4972-B8B8-3A92EC9B93DA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6" authorId="1" shapeId="0" xr:uid="{9F39EEF3-6A3D-4677-9DEC-55524FB0127E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B3" authorId="0" shapeId="0" xr:uid="{2DFA17BA-DB16-4CA0-9637-B97380B7F8E5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6" authorId="0" shapeId="0" xr:uid="{2005663E-37C0-4466-A821-374E7F3C9E97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6" authorId="1" shapeId="0" xr:uid="{CAA2B12D-4014-49D6-8032-AA770FCBB85C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6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This is the mean of the sample that is being compared to the hypothesized value.</t>
        </r>
      </text>
    </comment>
    <comment ref="B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If the sample size is less than 30, the statistic is the t-score.  If the sample size is greater than 30, the statistic is the z-score.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2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2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B3" authorId="0" shapeId="0" xr:uid="{1CD50150-0B2F-498B-8056-FBE7919A71D8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6" authorId="0" shapeId="0" xr:uid="{893FBDE0-B864-414D-B43A-935E81739E1F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6" authorId="1" shapeId="0" xr:uid="{87607D3F-D45E-40C5-85D7-77B776640B93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E3" authorId="0" shapeId="0" xr:uid="{9D205B52-F8DC-4B60-AA5F-52CEF87BA788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E11" authorId="0" shapeId="0" xr:uid="{E9A94372-269D-4384-B8C1-FBF1E198A422}">
      <text>
        <r>
          <rPr>
            <b/>
            <sz val="8"/>
            <color indexed="81"/>
            <rFont val="Tahoma"/>
            <family val="2"/>
          </rPr>
          <t>This is the t-test statistic computed from the raw data provided.</t>
        </r>
      </text>
    </comment>
    <comment ref="G14" authorId="0" shapeId="0" xr:uid="{25C92724-6AE0-45DC-84F7-4F85A5DA1564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H14" authorId="1" shapeId="0" xr:uid="{6B037F1D-FBEF-4904-AD8E-409873A73C53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E3" authorId="0" shapeId="0" xr:uid="{0818A7AC-BAC2-4BBB-9618-93D580635272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E11" authorId="0" shapeId="0" xr:uid="{256A41AB-BDD1-4BA3-9DFB-1CAB24E4119F}">
      <text>
        <r>
          <rPr>
            <b/>
            <sz val="8"/>
            <color indexed="81"/>
            <rFont val="Tahoma"/>
            <family val="2"/>
          </rPr>
          <t>This is the t-test statistic computed from the raw data provided.</t>
        </r>
      </text>
    </comment>
    <comment ref="G14" authorId="0" shapeId="0" xr:uid="{7CC49E56-AF6E-424D-A6DB-A32AFE4BFBDA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H14" authorId="1" shapeId="0" xr:uid="{59E09EC6-65E2-489A-BFD1-719E378F9DBE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H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J10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K10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Jim</author>
  </authors>
  <commentList>
    <comment ref="H3" authorId="0" shapeId="0" xr:uid="{45C354A8-CD72-4E51-9E41-738D2E86105F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J10" authorId="0" shapeId="0" xr:uid="{B0AB3CBD-D6CB-46FD-98A4-077E5FE2280A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K10" authorId="1" shapeId="0" xr:uid="{47EF57E2-F9E0-479D-ACA7-6E649F5C02AE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H3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J10" authorId="0" shapeId="0" xr:uid="{00000000-0006-0000-0E00-000002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Dr. Jim Mirabella</author>
  </authors>
  <commentList>
    <comment ref="H20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H21" authorId="1" shapeId="0" xr:uid="{00000000-0006-0000-1300-000002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G24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>If the decision is to REJECT THE NULL HYPOTHESIS, then the results of the Post-Hoc test determine where the specific differences lie.  Otherwise, ignore this section.</t>
        </r>
      </text>
    </comment>
    <comment ref="K25" authorId="0" shapeId="0" xr:uid="{00000000-0006-0000-1300-000004000000}">
      <text>
        <r>
          <rPr>
            <b/>
            <sz val="8"/>
            <color indexed="81"/>
            <rFont val="Tahoma"/>
            <family val="2"/>
          </rPr>
          <t>If the confidence interval does not contain the ZERO, the means are concluded to be different.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Dr. Jim Mirabella</author>
  </authors>
  <commentList>
    <comment ref="H20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H21" authorId="1" shapeId="0" xr:uid="{00000000-0006-0000-1100-000002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G24" authorId="0" shapeId="0" xr:uid="{00000000-0006-0000-1100-000003000000}">
      <text>
        <r>
          <rPr>
            <b/>
            <sz val="8"/>
            <color indexed="81"/>
            <rFont val="Tahoma"/>
            <family val="2"/>
          </rPr>
          <t>If the decision is to REJECT THE NULL HYPOTHESIS, then the results of the Post-Hoc test determine where the specific differences lie.  Otherwise, ignore this section.</t>
        </r>
      </text>
    </comment>
    <comment ref="K25" authorId="0" shapeId="0" xr:uid="{00000000-0006-0000-1100-000004000000}">
      <text>
        <r>
          <rPr>
            <b/>
            <sz val="8"/>
            <color indexed="81"/>
            <rFont val="Tahoma"/>
            <family val="2"/>
          </rPr>
          <t>If the confidence interval does not contain the ZERO, the means are concluded to be different.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Dr. Jim Mirabella</author>
  </authors>
  <commentList>
    <comment ref="A2" authorId="0" shapeId="0" xr:uid="{00000000-0006-0000-1800-000001000000}">
      <text>
        <r>
          <rPr>
            <b/>
            <sz val="8"/>
            <color indexed="81"/>
            <rFont val="Tahoma"/>
            <family val="2"/>
          </rPr>
          <t>Enter up to 125 paired observations.</t>
        </r>
      </text>
    </comment>
    <comment ref="B2" authorId="0" shapeId="0" xr:uid="{00000000-0006-0000-1800-000002000000}">
      <text>
        <r>
          <rPr>
            <b/>
            <sz val="8"/>
            <color indexed="81"/>
            <rFont val="Tahoma"/>
            <family val="2"/>
          </rPr>
          <t>The X-data is the independent variable from which a prediction is made.</t>
        </r>
      </text>
    </comment>
    <comment ref="C2" authorId="0" shapeId="0" xr:uid="{00000000-0006-0000-1800-000003000000}">
      <text>
        <r>
          <rPr>
            <b/>
            <sz val="8"/>
            <color indexed="81"/>
            <rFont val="Tahoma"/>
            <family val="2"/>
          </rPr>
          <t>The Y-data is the dependent variable that is being predicted by the regression equation.</t>
        </r>
      </text>
    </comment>
    <comment ref="F5" authorId="0" shapeId="0" xr:uid="{00000000-0006-0000-1800-000004000000}">
      <text>
        <r>
          <rPr>
            <b/>
            <sz val="8"/>
            <color indexed="81"/>
            <rFont val="Tahoma"/>
            <family val="2"/>
          </rPr>
          <t>This is the measure of the degree of relationship between the X and Y variables.  1 is perfect, .70 to 1.00 is strong, .30 to .69 is moderate, less than .30 is weak, 0 means no correlation.  The same rules apply to positive or negative correlations.</t>
        </r>
      </text>
    </comment>
    <comment ref="F6" authorId="0" shapeId="0" xr:uid="{00000000-0006-0000-1800-000005000000}">
      <text>
        <r>
          <rPr>
            <b/>
            <sz val="8"/>
            <color indexed="81"/>
            <rFont val="Tahoma"/>
            <family val="2"/>
          </rPr>
          <t>This explains the percent of the variability in Y that can be explained by the regression equation.</t>
        </r>
      </text>
    </comment>
    <comment ref="F7" authorId="1" shapeId="0" xr:uid="{00000000-0006-0000-1800-000006000000}">
      <text>
        <r>
          <rPr>
            <b/>
            <sz val="8"/>
            <color indexed="81"/>
            <rFont val="Tahoma"/>
            <family val="2"/>
          </rPr>
          <t>A measure of dispersion of the data around the regression line.   Similar to standard deviation, for a given prediction you would expect with 95% confidence that the prediction would be with 2 standard errors of the regression line.</t>
        </r>
      </text>
    </comment>
    <comment ref="F10" authorId="1" shapeId="0" xr:uid="{00000000-0006-0000-1800-000007000000}">
      <text>
        <r>
          <rPr>
            <b/>
            <sz val="8"/>
            <color indexed="81"/>
            <rFont val="Tahoma"/>
            <family val="2"/>
          </rPr>
          <t>A one unit change in X results in a change in Y equal to the value of the slope.</t>
        </r>
      </text>
    </comment>
    <comment ref="F15" authorId="0" shapeId="0" xr:uid="{00000000-0006-0000-1800-000008000000}">
      <text>
        <r>
          <rPr>
            <b/>
            <sz val="8"/>
            <color indexed="81"/>
            <rFont val="Tahoma"/>
            <family val="2"/>
          </rPr>
          <t>Enter the x-value that you want to use to predict the y-value.   You should never input an X-value that is beyond the range of the data (i.e., it should be between the smallest and largest X-Data observation).</t>
        </r>
      </text>
    </comment>
    <comment ref="F16" authorId="0" shapeId="0" xr:uid="{00000000-0006-0000-1800-000009000000}">
      <text>
        <r>
          <rPr>
            <b/>
            <sz val="8"/>
            <color indexed="81"/>
            <rFont val="Tahoma"/>
            <family val="2"/>
          </rPr>
          <t>Enter the confidence level to be used in the confidence and prediction intervals.</t>
        </r>
      </text>
    </comment>
    <comment ref="F17" authorId="0" shapeId="0" xr:uid="{00000000-0006-0000-1800-00000A000000}">
      <text>
        <r>
          <rPr>
            <b/>
            <sz val="8"/>
            <color indexed="81"/>
            <rFont val="Tahoma"/>
            <family val="2"/>
          </rPr>
          <t>This is the predicted value using the x-value above and the regression equation.</t>
        </r>
      </text>
    </comment>
    <comment ref="E18" authorId="0" shapeId="0" xr:uid="{00000000-0006-0000-1800-00000B000000}">
      <text>
        <r>
          <rPr>
            <b/>
            <sz val="8"/>
            <color indexed="81"/>
            <rFont val="Tahoma"/>
            <family val="2"/>
          </rPr>
          <t>This estimates the mean value of Y given X.</t>
        </r>
      </text>
    </comment>
    <comment ref="E19" authorId="0" shapeId="0" xr:uid="{00000000-0006-0000-1800-00000C000000}">
      <text>
        <r>
          <rPr>
            <b/>
            <sz val="8"/>
            <color indexed="81"/>
            <rFont val="Tahoma"/>
            <family val="2"/>
          </rPr>
          <t>This estimates the range of values of Y for a given X and should be larger than the confidence interval.</t>
        </r>
      </text>
    </comment>
    <comment ref="F23" authorId="1" shapeId="0" xr:uid="{00000000-0006-0000-1800-00000D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F25" authorId="1" shapeId="0" xr:uid="{00000000-0006-0000-1800-00000E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  <author>Dr. Jim Mirabella</author>
  </authors>
  <commentList>
    <comment ref="A2" authorId="0" shapeId="0" xr:uid="{00000000-0006-0000-1A00-000001000000}">
      <text>
        <r>
          <rPr>
            <b/>
            <sz val="8"/>
            <color indexed="81"/>
            <rFont val="Tahoma"/>
            <family val="2"/>
          </rPr>
          <t>Enter up to 125 paired observations.</t>
        </r>
      </text>
    </comment>
    <comment ref="B2" authorId="0" shapeId="0" xr:uid="{00000000-0006-0000-1A00-000002000000}">
      <text>
        <r>
          <rPr>
            <b/>
            <sz val="8"/>
            <color indexed="81"/>
            <rFont val="Tahoma"/>
            <family val="2"/>
          </rPr>
          <t>The X-data is the independent variable from which a prediction is made.</t>
        </r>
      </text>
    </comment>
    <comment ref="C2" authorId="0" shapeId="0" xr:uid="{00000000-0006-0000-1A00-000003000000}">
      <text>
        <r>
          <rPr>
            <b/>
            <sz val="8"/>
            <color indexed="81"/>
            <rFont val="Tahoma"/>
            <family val="2"/>
          </rPr>
          <t>The Y-data is the dependent variable that is being predicted by the regression equation.</t>
        </r>
      </text>
    </comment>
    <comment ref="F5" authorId="0" shapeId="0" xr:uid="{00000000-0006-0000-1A00-000004000000}">
      <text>
        <r>
          <rPr>
            <b/>
            <sz val="8"/>
            <color indexed="81"/>
            <rFont val="Tahoma"/>
            <family val="2"/>
          </rPr>
          <t>This is the measure of the degree of relationship between the X and Y variables.  1 is perfect, .70 to 1.00 is strong, .30 to .69 is moderate, less than .30 is weak, 0 means no correlation.  The same rules apply to positive or negative correlations.</t>
        </r>
      </text>
    </comment>
    <comment ref="F6" authorId="0" shapeId="0" xr:uid="{00000000-0006-0000-1A00-000005000000}">
      <text>
        <r>
          <rPr>
            <b/>
            <sz val="8"/>
            <color indexed="81"/>
            <rFont val="Tahoma"/>
            <family val="2"/>
          </rPr>
          <t>This explains the percent of the variability in Y that can be explained by the regression equation.</t>
        </r>
      </text>
    </comment>
    <comment ref="F7" authorId="1" shapeId="0" xr:uid="{00000000-0006-0000-1A00-000006000000}">
      <text>
        <r>
          <rPr>
            <b/>
            <sz val="8"/>
            <color indexed="81"/>
            <rFont val="Tahoma"/>
            <family val="2"/>
          </rPr>
          <t>A measure of dispersion of the data around the regression line.   Similar to standard deviation, for a given prediction you would expect with 95% confidence that the prediction would be with 2 standard errors of the regression line.</t>
        </r>
      </text>
    </comment>
    <comment ref="F10" authorId="1" shapeId="0" xr:uid="{00000000-0006-0000-1A00-000007000000}">
      <text>
        <r>
          <rPr>
            <b/>
            <sz val="8"/>
            <color indexed="81"/>
            <rFont val="Tahoma"/>
            <family val="2"/>
          </rPr>
          <t>A one unit change in X results in a change in Y equal to the value of the slope.</t>
        </r>
      </text>
    </comment>
    <comment ref="F15" authorId="0" shapeId="0" xr:uid="{00000000-0006-0000-1A00-000008000000}">
      <text>
        <r>
          <rPr>
            <b/>
            <sz val="8"/>
            <color indexed="81"/>
            <rFont val="Tahoma"/>
            <family val="2"/>
          </rPr>
          <t>Enter the x-value that you want to use to predict the y-value.   You should never input an X-value that is beyond the range of the data (i.e., it should be between the smallest and largest X-Data observation).</t>
        </r>
      </text>
    </comment>
    <comment ref="F16" authorId="0" shapeId="0" xr:uid="{00000000-0006-0000-1A00-000009000000}">
      <text>
        <r>
          <rPr>
            <b/>
            <sz val="8"/>
            <color indexed="81"/>
            <rFont val="Tahoma"/>
            <family val="2"/>
          </rPr>
          <t>Enter the confidence level to be used in the confidence and prediction intervals.</t>
        </r>
      </text>
    </comment>
    <comment ref="F17" authorId="0" shapeId="0" xr:uid="{00000000-0006-0000-1A00-00000A000000}">
      <text>
        <r>
          <rPr>
            <b/>
            <sz val="8"/>
            <color indexed="81"/>
            <rFont val="Tahoma"/>
            <family val="2"/>
          </rPr>
          <t>This is the predicted value using the x-value above and the regression equation.</t>
        </r>
      </text>
    </comment>
    <comment ref="E18" authorId="0" shapeId="0" xr:uid="{00000000-0006-0000-1A00-00000B000000}">
      <text>
        <r>
          <rPr>
            <b/>
            <sz val="8"/>
            <color indexed="81"/>
            <rFont val="Tahoma"/>
            <family val="2"/>
          </rPr>
          <t>This estimates the mean value of Y given X.</t>
        </r>
      </text>
    </comment>
    <comment ref="E19" authorId="0" shapeId="0" xr:uid="{00000000-0006-0000-1A00-00000C000000}">
      <text>
        <r>
          <rPr>
            <b/>
            <sz val="8"/>
            <color indexed="81"/>
            <rFont val="Tahoma"/>
            <family val="2"/>
          </rPr>
          <t>This estimates the range of values of Y for a given X and should be larger than the confidence interval.</t>
        </r>
      </text>
    </comment>
    <comment ref="F23" authorId="1" shapeId="0" xr:uid="{00000000-0006-0000-1A00-00000D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F25" authorId="1" shapeId="0" xr:uid="{00000000-0006-0000-1A00-00000E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This is the mean of the sample that is being compared to the hypothesized value.</t>
        </r>
      </text>
    </comment>
    <comment ref="B9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If the sample size is less than 30, the statistic is the t-score.  If the sample size is greater than 30, the statistic is the z-score.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2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2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6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This is the mean of the sample that is being compared to the hypothesized value.</t>
        </r>
      </text>
    </comment>
    <comment ref="B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If the sample size is less than 30, the statistic is the t-score.  If the sample size is greater than 30, the statistic is the z-score.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2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2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5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This is the number of observations in the sample that meet the specified condition.</t>
        </r>
      </text>
    </comment>
    <comment ref="A13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3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3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5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This is the number of observations in the sample that meet the specified condition.</t>
        </r>
      </text>
    </comment>
    <comment ref="A13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3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3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5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This is the number of observations in the sample that meet the specified condition.</t>
        </r>
      </text>
    </comment>
    <comment ref="A13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3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3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5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This is the number of observations in the sample that meet the specified condition.</t>
        </r>
      </text>
    </comment>
    <comment ref="A13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3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3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Mirabella</author>
  </authors>
  <commentList>
    <comment ref="B3" authorId="0" shapeId="0" xr:uid="{A6E630FB-64A9-4288-ABA5-18F50FD6A345}">
      <text>
        <r>
          <rPr>
            <b/>
            <sz val="8"/>
            <color indexed="81"/>
            <rFont val="Tahoma"/>
            <family val="2"/>
          </rPr>
          <t>This is the hypothesized value that is being tested.</t>
        </r>
      </text>
    </comment>
    <comment ref="B4" authorId="0" shapeId="0" xr:uid="{2A174B22-3436-490F-B545-36549481CF0D}">
      <text>
        <r>
          <rPr>
            <b/>
            <sz val="8"/>
            <color indexed="81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6" authorId="0" shapeId="0" xr:uid="{CDD12320-203D-4260-BEEA-9B482C8B64C7}">
      <text>
        <r>
          <rPr>
            <b/>
            <sz val="8"/>
            <color indexed="81"/>
            <rFont val="Tahoma"/>
            <family val="2"/>
          </rPr>
          <t>This is the mean of the sample that is being compared to the hypothesized value.</t>
        </r>
      </text>
    </comment>
    <comment ref="B9" authorId="0" shapeId="0" xr:uid="{DF95376D-808B-496B-A40A-35E1A0E9B953}">
      <text>
        <r>
          <rPr>
            <b/>
            <sz val="8"/>
            <color indexed="81"/>
            <rFont val="Tahoma"/>
            <family val="2"/>
          </rPr>
          <t>If the sample size is less than 30, the statistic is the t-score.  If the sample size is greater than 30, the statistic is the z-score.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643BEDF5-0B68-465B-AE0E-CDE75F62FBEA}">
      <text>
        <r>
          <rPr>
            <b/>
            <sz val="8"/>
            <color indexed="81"/>
            <rFont val="Tahoma"/>
            <family val="2"/>
          </rPr>
          <t>Depending on the alternate hypothesis, you select the appropriate test and make the subsequent decision.</t>
        </r>
      </text>
    </comment>
    <comment ref="D12" authorId="0" shapeId="0" xr:uid="{51122B02-2AD6-4856-9C1A-7FCBB402F7B9}">
      <text>
        <r>
          <rPr>
            <b/>
            <sz val="8"/>
            <color indexed="81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2" authorId="0" shapeId="0" xr:uid="{3D577AFB-84E2-4954-AF9C-6C9009882CD8}">
      <text>
        <r>
          <rPr>
            <b/>
            <sz val="8"/>
            <color indexed="81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sharedStrings.xml><?xml version="1.0" encoding="utf-8"?>
<sst xmlns="http://schemas.openxmlformats.org/spreadsheetml/2006/main" count="883" uniqueCount="315">
  <si>
    <t>Level of Significance</t>
  </si>
  <si>
    <t>Sample Size</t>
  </si>
  <si>
    <t>Sample Mean</t>
  </si>
  <si>
    <t>Two-Tailed Test</t>
  </si>
  <si>
    <t>Upper-Tail Test</t>
  </si>
  <si>
    <t>Decision</t>
  </si>
  <si>
    <t>Number of Successes</t>
  </si>
  <si>
    <t>Z Test Statistic (Computed)</t>
  </si>
  <si>
    <t>Test Statistic (Computed)</t>
  </si>
  <si>
    <t>Lower Crit Value</t>
  </si>
  <si>
    <t>Upper Crit Value</t>
  </si>
  <si>
    <t>n/a</t>
  </si>
  <si>
    <r>
      <t>p</t>
    </r>
    <r>
      <rPr>
        <u/>
        <sz val="10"/>
        <rFont val="Arial"/>
        <family val="2"/>
      </rPr>
      <t>-Value</t>
    </r>
  </si>
  <si>
    <t>Two Sample Hypothesis Test for the Mean (Independent Samples)</t>
  </si>
  <si>
    <t>Sample Standard Deviation</t>
  </si>
  <si>
    <t>Standard Error (Computed)</t>
  </si>
  <si>
    <t>H1:  (m1 &lt;&gt; m2)</t>
  </si>
  <si>
    <t>Two Sample Hypothesis Test for the Mean (Paired Samples)</t>
  </si>
  <si>
    <t>Item</t>
  </si>
  <si>
    <t>Lower</t>
  </si>
  <si>
    <t>Upper</t>
  </si>
  <si>
    <t>Crit Value</t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</si>
  <si>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  <charset val="2"/>
      </rPr>
      <t xml:space="preserve"> &lt;&gt; 0),  (m1 &lt;&gt; m2)</t>
    </r>
  </si>
  <si>
    <t xml:space="preserve">           ©2007 DrJimMirabella.com</t>
  </si>
  <si>
    <r>
      <t>H1:  (m</t>
    </r>
    <r>
      <rPr>
        <sz val="10"/>
        <rFont val="Arial"/>
        <family val="2"/>
      </rPr>
      <t>d</t>
    </r>
    <r>
      <rPr>
        <sz val="10"/>
        <rFont val="Symbol"/>
        <family val="1"/>
        <charset val="2"/>
      </rPr>
      <t xml:space="preserve"> &gt; 0), (m1 &gt; m2)</t>
    </r>
  </si>
  <si>
    <t>Two Sample Hypothesis Test for the Proportion</t>
  </si>
  <si>
    <t>Average Proportion</t>
  </si>
  <si>
    <t>Proportion (Computed)</t>
  </si>
  <si>
    <t>H1:  (P1 &lt;&gt; P2)</t>
  </si>
  <si>
    <t>Analysis of Variance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</si>
  <si>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</si>
  <si>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</si>
  <si>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</si>
  <si>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</si>
  <si>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</si>
  <si>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</si>
  <si>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</si>
  <si>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</si>
  <si>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</si>
  <si>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</si>
  <si>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</si>
  <si>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</si>
  <si>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F crit</t>
  </si>
  <si>
    <t>Treatment</t>
  </si>
  <si>
    <t>Error</t>
  </si>
  <si>
    <t>Total</t>
  </si>
  <si>
    <t>Null hypothesis:</t>
  </si>
  <si>
    <t>Alternate hypothesis:</t>
  </si>
  <si>
    <t>Not all the means are equal</t>
  </si>
  <si>
    <t>Significance level:</t>
  </si>
  <si>
    <t>p-Value</t>
  </si>
  <si>
    <t>Decision:</t>
  </si>
  <si>
    <t>Mean Differences Post-Hoc Tests</t>
  </si>
  <si>
    <t>Difference</t>
  </si>
  <si>
    <t>Difference in</t>
  </si>
  <si>
    <t>Comparison</t>
  </si>
  <si>
    <t>of Means</t>
  </si>
  <si>
    <t>Conf. Limit</t>
  </si>
  <si>
    <t>Treatment Means???</t>
  </si>
  <si>
    <t xml:space="preserve">     ©2007 DrJimMirabella.com</t>
  </si>
  <si>
    <t>Yes there is evidence of a difference</t>
  </si>
  <si>
    <t>Correlation &amp; Regression</t>
  </si>
  <si>
    <t>Observation</t>
  </si>
  <si>
    <t>X-Data</t>
  </si>
  <si>
    <t>Y-Data</t>
  </si>
  <si>
    <t>REGRESSION STATISTICS</t>
  </si>
  <si>
    <t>Observations</t>
  </si>
  <si>
    <t>Correlation coefficient (r)</t>
  </si>
  <si>
    <t>Coefficient of determination (r-squared)</t>
  </si>
  <si>
    <t>Standard error of the estimate</t>
  </si>
  <si>
    <t>REGRESSION EQUATION</t>
  </si>
  <si>
    <t>Slope</t>
  </si>
  <si>
    <t>Intercept</t>
  </si>
  <si>
    <t>PREDICTING WITH THE REGRESSION EQUATION</t>
  </si>
  <si>
    <t>X value</t>
  </si>
  <si>
    <t>Confidence Level</t>
  </si>
  <si>
    <t>Predicted Y value</t>
  </si>
  <si>
    <t xml:space="preserve">          Confidence Interval</t>
  </si>
  <si>
    <t>+</t>
  </si>
  <si>
    <t xml:space="preserve">          Prediction Interval</t>
  </si>
  <si>
    <t>HYPOTHESIS TEST FOR CORRELATION</t>
  </si>
  <si>
    <t>Null hypothesis:  Slope = 0 (no correlation)</t>
  </si>
  <si>
    <t>t-Statistic (computed)</t>
  </si>
  <si>
    <t>p-value</t>
  </si>
  <si>
    <t>Conclusion</t>
  </si>
  <si>
    <t>Regression</t>
  </si>
  <si>
    <t>Data</t>
  </si>
  <si>
    <t>Obs 1</t>
  </si>
  <si>
    <t>Obs 2</t>
  </si>
  <si>
    <t>Obs 3</t>
  </si>
  <si>
    <t>Obs 4</t>
  </si>
  <si>
    <t>Obs 5</t>
  </si>
  <si>
    <t>Obs 6</t>
  </si>
  <si>
    <t>Obs 7</t>
  </si>
  <si>
    <t>Obs 8</t>
  </si>
  <si>
    <t>Obs 9</t>
  </si>
  <si>
    <t>Obs 10</t>
  </si>
  <si>
    <t>Obs 11</t>
  </si>
  <si>
    <t>Obs 12</t>
  </si>
  <si>
    <t>Obs 13</t>
  </si>
  <si>
    <t>Obs 14</t>
  </si>
  <si>
    <t>Obs 15</t>
  </si>
  <si>
    <t>Obs 16</t>
  </si>
  <si>
    <t>Obs 17</t>
  </si>
  <si>
    <t>Obs 18</t>
  </si>
  <si>
    <t>Obs 19</t>
  </si>
  <si>
    <t>Obs 20</t>
  </si>
  <si>
    <t>Obs 21</t>
  </si>
  <si>
    <t>Obs 22</t>
  </si>
  <si>
    <t>Obs 23</t>
  </si>
  <si>
    <t>Obs 24</t>
  </si>
  <si>
    <t>Obs 25</t>
  </si>
  <si>
    <t>Obs 26</t>
  </si>
  <si>
    <t>Obs 27</t>
  </si>
  <si>
    <t>Obs 28</t>
  </si>
  <si>
    <t>Obs 29</t>
  </si>
  <si>
    <t>Obs 30</t>
  </si>
  <si>
    <t>Obs 31</t>
  </si>
  <si>
    <t>Obs 32</t>
  </si>
  <si>
    <t>CORRELATION GUIDELINES</t>
  </si>
  <si>
    <t>Obs 33</t>
  </si>
  <si>
    <t>Step 1:  input the data (note which is the dependent variable)</t>
  </si>
  <si>
    <t>Obs 34</t>
  </si>
  <si>
    <t>Step 2:  assess the scatter diagram for linearity (if not linear, STOP)</t>
  </si>
  <si>
    <t>Obs 35</t>
  </si>
  <si>
    <t>Step 3:  hypothesis test for correlation (if correlation does not exist, STOP)</t>
  </si>
  <si>
    <t>Obs 36</t>
  </si>
  <si>
    <t>Step 4:  evaluate regression statistics (if correlation is weak, reconsider its value)</t>
  </si>
  <si>
    <t>Obs 37</t>
  </si>
  <si>
    <t>Obs 38</t>
  </si>
  <si>
    <t>Obs 39</t>
  </si>
  <si>
    <t>Obs 40</t>
  </si>
  <si>
    <t xml:space="preserve">  ©2007 DrJimMirabella.com</t>
  </si>
  <si>
    <t>Obs 41</t>
  </si>
  <si>
    <t>Obs 42</t>
  </si>
  <si>
    <t>Obs 43</t>
  </si>
  <si>
    <t>Obs 44</t>
  </si>
  <si>
    <t>Obs 45</t>
  </si>
  <si>
    <t>Obs 46</t>
  </si>
  <si>
    <t>Obs 47</t>
  </si>
  <si>
    <t>Obs 48</t>
  </si>
  <si>
    <t>Obs 49</t>
  </si>
  <si>
    <t>Obs 50</t>
  </si>
  <si>
    <t>Obs 51</t>
  </si>
  <si>
    <t>Obs 52</t>
  </si>
  <si>
    <t>Obs 53</t>
  </si>
  <si>
    <t>Obs 54</t>
  </si>
  <si>
    <t>Obs 55</t>
  </si>
  <si>
    <t>Obs 56</t>
  </si>
  <si>
    <t>Obs 57</t>
  </si>
  <si>
    <t>Obs 58</t>
  </si>
  <si>
    <t>Obs 59</t>
  </si>
  <si>
    <t>Obs 60</t>
  </si>
  <si>
    <t>Obs 61</t>
  </si>
  <si>
    <t>Obs 62</t>
  </si>
  <si>
    <t>Obs 63</t>
  </si>
  <si>
    <t>Obs 64</t>
  </si>
  <si>
    <t>Obs 65</t>
  </si>
  <si>
    <t>Obs 66</t>
  </si>
  <si>
    <t>Obs 67</t>
  </si>
  <si>
    <t>Obs 68</t>
  </si>
  <si>
    <t>Obs 69</t>
  </si>
  <si>
    <t>Obs 70</t>
  </si>
  <si>
    <t>Obs 71</t>
  </si>
  <si>
    <t>Obs 72</t>
  </si>
  <si>
    <t>Obs 73</t>
  </si>
  <si>
    <t>Obs 74</t>
  </si>
  <si>
    <t>Obs 75</t>
  </si>
  <si>
    <t>Obs 76</t>
  </si>
  <si>
    <t>Obs 77</t>
  </si>
  <si>
    <t>Obs 78</t>
  </si>
  <si>
    <t>Obs 79</t>
  </si>
  <si>
    <t>Obs 80</t>
  </si>
  <si>
    <t>Obs 81</t>
  </si>
  <si>
    <t>Obs 82</t>
  </si>
  <si>
    <t>Obs 83</t>
  </si>
  <si>
    <t>Obs 84</t>
  </si>
  <si>
    <t>Obs 85</t>
  </si>
  <si>
    <t>Obs 86</t>
  </si>
  <si>
    <t>Obs 87</t>
  </si>
  <si>
    <t>Obs 88</t>
  </si>
  <si>
    <t>Obs 89</t>
  </si>
  <si>
    <t>Obs 90</t>
  </si>
  <si>
    <t>Obs 91</t>
  </si>
  <si>
    <t>Obs 92</t>
  </si>
  <si>
    <t>Obs 93</t>
  </si>
  <si>
    <t>Obs 94</t>
  </si>
  <si>
    <t>Obs 95</t>
  </si>
  <si>
    <t>Obs 96</t>
  </si>
  <si>
    <t>Obs 97</t>
  </si>
  <si>
    <t>Obs 98</t>
  </si>
  <si>
    <t>Obs 99</t>
  </si>
  <si>
    <t>Obs 100</t>
  </si>
  <si>
    <t>Obs 101</t>
  </si>
  <si>
    <t>Obs 102</t>
  </si>
  <si>
    <t>Obs 103</t>
  </si>
  <si>
    <t>Obs 104</t>
  </si>
  <si>
    <t>Obs 105</t>
  </si>
  <si>
    <t>Obs 106</t>
  </si>
  <si>
    <t>Obs 107</t>
  </si>
  <si>
    <t>Obs 108</t>
  </si>
  <si>
    <t>Obs 109</t>
  </si>
  <si>
    <t>Obs 110</t>
  </si>
  <si>
    <t>Obs 111</t>
  </si>
  <si>
    <t>Obs 112</t>
  </si>
  <si>
    <t>Obs 113</t>
  </si>
  <si>
    <t>Obs 114</t>
  </si>
  <si>
    <t>Obs 115</t>
  </si>
  <si>
    <t>Obs 116</t>
  </si>
  <si>
    <t>Obs 117</t>
  </si>
  <si>
    <t>Obs 118</t>
  </si>
  <si>
    <t>Obs 119</t>
  </si>
  <si>
    <t>Obs 120</t>
  </si>
  <si>
    <t>Obs 121</t>
  </si>
  <si>
    <t>Obs 122</t>
  </si>
  <si>
    <t>Obs 123</t>
  </si>
  <si>
    <t>Obs 124</t>
  </si>
  <si>
    <t>Obs 125</t>
  </si>
  <si>
    <t>Direction of Test</t>
  </si>
  <si>
    <t>Standard Deviation</t>
  </si>
  <si>
    <r>
      <t xml:space="preserve">Null Hypothesis                </t>
    </r>
    <r>
      <rPr>
        <sz val="10"/>
        <rFont val="Symbol"/>
        <family val="1"/>
        <charset val="2"/>
      </rPr>
      <t xml:space="preserve">m </t>
    </r>
    <r>
      <rPr>
        <sz val="10"/>
        <rFont val="Arial"/>
      </rPr>
      <t>=</t>
    </r>
  </si>
  <si>
    <t>One Sample Hypothesis Test for the Mean</t>
  </si>
  <si>
    <t>Lower-Tail Test</t>
  </si>
  <si>
    <t>(computed from Successes / Sample Size)</t>
  </si>
  <si>
    <t>Sample Proportion</t>
  </si>
  <si>
    <r>
      <t xml:space="preserve">Null Hypothesis                </t>
    </r>
    <r>
      <rPr>
        <i/>
        <sz val="10"/>
        <rFont val="Arial"/>
        <family val="2"/>
      </rPr>
      <t xml:space="preserve">P </t>
    </r>
    <r>
      <rPr>
        <sz val="10"/>
        <rFont val="Arial"/>
        <family val="2"/>
      </rPr>
      <t>=</t>
    </r>
  </si>
  <si>
    <t>One Sample Hypothesis Test for the Proportion</t>
  </si>
  <si>
    <t xml:space="preserve">No, there is insufficient evidence that Crossfit's experience differs from the claim of 60,000 miles. </t>
  </si>
  <si>
    <t>Yes, it can be concluded that the mean waiting time is less than 3 minutes.</t>
  </si>
  <si>
    <t>Yes, it can be concluded that college students watch fewer DVDs each month than high school students.</t>
  </si>
  <si>
    <t>Yes, it can be concluded that she earns more than $80 per month in tips on average.</t>
  </si>
  <si>
    <t xml:space="preserve">No, there is insufficient evidence to conclude that a larger proportion of men drive on the NJ Turnpike than reported. </t>
  </si>
  <si>
    <t>Yes, it can be concluded that a larger proportion of students have jobs.</t>
  </si>
  <si>
    <t>Yes, it can be concluded that less than 90% of orders are delivered within 10 minutes.</t>
  </si>
  <si>
    <t>No, there is insufficient evidence to conclude a decrease in the proportion of students changing majors.</t>
  </si>
  <si>
    <t>Yes, it can be concluded that those on Weight Reducers will lose less than 10 pounds on average.</t>
  </si>
  <si>
    <t>Yes, it can be concluded that the mean weight is greater than 16 ounces.</t>
  </si>
  <si>
    <t>Yes, it can be concluded that there has been an increase in selling time.</t>
  </si>
  <si>
    <t>Yes, it can be concluded that the mean income is not equal to $45,000.</t>
  </si>
  <si>
    <t>Gibbs</t>
  </si>
  <si>
    <t>Competitor</t>
  </si>
  <si>
    <r>
      <t xml:space="preserve">H1:  (m1 &gt;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  <charset val="2"/>
      </rPr>
      <t xml:space="preserve">  m2 &lt; m1)</t>
    </r>
  </si>
  <si>
    <r>
      <t xml:space="preserve">H1:  (m1 &lt;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  <charset val="2"/>
      </rPr>
      <t xml:space="preserve">  m2 &gt; m1)</t>
    </r>
  </si>
  <si>
    <t>If you REJECT the null hypothesis, conclude that H1 is true.</t>
  </si>
  <si>
    <t>If you DO NOT REJECT the null hypothesis, there is insufficient evidence to conclude that H1 is true.</t>
  </si>
  <si>
    <t>NEVER conclude that the null hypothesis is true (i.e., we CANNOT ACCEPT the null).</t>
  </si>
  <si>
    <t xml:space="preserve">                          ©2007 DrJimMirabella.com</t>
  </si>
  <si>
    <t>No, there is insufficient evidence to conclude those using Gibbs gained less weight.</t>
  </si>
  <si>
    <t>11.x</t>
  </si>
  <si>
    <t>Cincinnati</t>
  </si>
  <si>
    <t>Pittsburgh</t>
  </si>
  <si>
    <t>No, there is insufficient evidence to conclude a difference in the mean miles traveled between Cincinnati &amp; Pittsburgh employees.</t>
  </si>
  <si>
    <t>Oil</t>
  </si>
  <si>
    <t>Other</t>
  </si>
  <si>
    <t>Yes, it can be concluded that there is a difference in turnover rates for the two types of stocks.</t>
  </si>
  <si>
    <t>Union</t>
  </si>
  <si>
    <t>Non-union</t>
  </si>
  <si>
    <t xml:space="preserve">Yes, it can be concluded that union nurses earn more than non-union nurses.  </t>
  </si>
  <si>
    <t>H1:  (P1 &gt; P2  or  P2 &lt; P1)</t>
  </si>
  <si>
    <t>H1:  (P1 &lt; P2  or  P2 &gt; P1)</t>
  </si>
  <si>
    <t>Pernod 5</t>
  </si>
  <si>
    <t>Action</t>
  </si>
  <si>
    <t>Yes, it can be concluded that there is a difference in the proportion of vines infested under the 2 insecticides.</t>
  </si>
  <si>
    <t>Yes, it can be concluded that women in 2005 think men are less kind than they thought in 1995.</t>
  </si>
  <si>
    <t>Democrats</t>
  </si>
  <si>
    <t>Republicans</t>
  </si>
  <si>
    <t>No, there is insufficient evidence to conclude that a larger portion of Democrats vs. Republicans wish to lower environmental standards.</t>
  </si>
  <si>
    <t>Single</t>
  </si>
  <si>
    <t>Married</t>
  </si>
  <si>
    <t>No, there is insufficient evidence to conclude a difference in 3-year accident rates for single vs. married persons.</t>
  </si>
  <si>
    <t xml:space="preserve">        ©2007 DrJimMirabella.com</t>
  </si>
  <si>
    <t>Men</t>
  </si>
  <si>
    <t>Women</t>
  </si>
  <si>
    <t>No, there is insufficient evidence to conclude that women have higher mean grades than men.</t>
  </si>
  <si>
    <t>Sales</t>
  </si>
  <si>
    <t>Audit</t>
  </si>
  <si>
    <t>Yes, it can be concluded that the Sales staff have greater mean expenses than the Audit staff.</t>
  </si>
  <si>
    <t>Dhondt</t>
  </si>
  <si>
    <t>Meredith</t>
  </si>
  <si>
    <t>Yes, it can be concluded that there is a difference in the mean number of citations from the 2 officers.</t>
  </si>
  <si>
    <t>Before</t>
  </si>
  <si>
    <t>After</t>
  </si>
  <si>
    <t>Insufficient evidence to conclude a decrease in crimes since the program began.</t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</si>
  <si>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  <charset val="2"/>
      </rPr>
      <t xml:space="preserve"> &lt; 0), (m1 &lt;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  <charset val="2"/>
      </rPr>
      <t xml:space="preserve">  m2 &gt; m1)</t>
    </r>
  </si>
  <si>
    <t>Yes, it can be concluded that salespersons' weekly income increased after the incentive plan.</t>
  </si>
  <si>
    <t>Banking</t>
  </si>
  <si>
    <t>Retail</t>
  </si>
  <si>
    <t>Insurance</t>
  </si>
  <si>
    <t xml:space="preserve"> in mean hours by industry.</t>
  </si>
  <si>
    <t>Banking is significantly greater than</t>
  </si>
  <si>
    <t>Retail and Insurance.</t>
  </si>
  <si>
    <t>Southwyck</t>
  </si>
  <si>
    <t>Franklin</t>
  </si>
  <si>
    <t>Orchard</t>
  </si>
  <si>
    <t xml:space="preserve"> in mean income.</t>
  </si>
  <si>
    <t>Old Orchard is significantly greater than Franklin</t>
  </si>
  <si>
    <t>which is significantly greater than Southwyck.</t>
  </si>
  <si>
    <t>police</t>
  </si>
  <si>
    <t>crimes</t>
  </si>
  <si>
    <t>part a - police are the independent variable; crime is the dependent variable.</t>
  </si>
  <si>
    <t>part c - strong correlation of -.874; as # police increase, # crimes decrease</t>
  </si>
  <si>
    <t>part d -- 76.5% of variability in the crimes can be explained by the regression model</t>
  </si>
  <si>
    <t xml:space="preserve">part e -- It is not a surprise that the relationship is inverse.  </t>
  </si>
  <si>
    <t>Crimes should decrease when police are present in greater numbers.</t>
  </si>
  <si>
    <t>EXTRA:  slope of -0.96 means one additional cop corresponds to 0.96 fewer crimes</t>
  </si>
  <si>
    <t>EXTRA:  There is a significant correlation between police and crimes.</t>
  </si>
  <si>
    <t>EXTRA:  If there were 20 policemen, predict 10.195 crimes.</t>
  </si>
  <si>
    <t>Earnings</t>
  </si>
  <si>
    <t>part c - moderate correlation of .673; as sales increase, earnings increase</t>
  </si>
  <si>
    <t>part d -- 45.4% of variability in earnings can be explained by the regression model</t>
  </si>
  <si>
    <t>EXTRA:  There is a significant correlation between sales and earnings.</t>
  </si>
  <si>
    <t>part f:  If there were $50 million in sales, predict $6.031 million in earnings.</t>
  </si>
  <si>
    <t>EXTRA:  equation is EARNINGS = 1.852 + .084*Sales</t>
  </si>
  <si>
    <t>EXTRA:  equation is CRIMES = 29.388 -.96 * POLICE</t>
  </si>
  <si>
    <t>EXTRA:  slope of .084 means $1 in sales corresponds to 8.4 cents in earnings.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</si>
</sst>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  <charset val="2"/>
    </font>
    <font>
      <b/>
      <sz val="16"/>
      <name val="Arial"/>
      <family val="2"/>
    </font>
    <font>
      <b/>
      <sz val="8"/>
      <color indexed="81"/>
      <name val="Tahoma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  <charset val="2"/>
    </font>
    <font>
      <sz val="10"/>
      <name val="Century Gothic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u val="double"/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sz val="8"/>
      <color indexed="81"/>
      <name val="Tahoma"/>
      <family val="2"/>
    </font>
    <font>
      <sz val="10"/>
      <name val="Arial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2" borderId="0" xfId="0" applyFont="1" applyFill="1" applyAlignment="1" applyProtection="1">
      <alignment horizontal="left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2" fontId="3" fillId="2" borderId="0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5" fillId="2" borderId="5" xfId="0" applyFont="1" applyFill="1" applyBorder="1" applyAlignment="1" applyProtection="1">
      <alignment horizontal="center"/>
    </xf>
    <xf numFmtId="0" fontId="6" fillId="2" borderId="0" xfId="2" applyFont="1" applyFill="1" applyAlignment="1" applyProtection="1">
      <alignment horizontal="left"/>
    </xf>
    <xf numFmtId="0" fontId="2" fillId="2" borderId="0" xfId="2" applyFill="1" applyProtection="1"/>
    <xf numFmtId="0" fontId="2" fillId="0" borderId="0" xfId="2" applyProtection="1">
      <protection locked="0"/>
    </xf>
    <xf numFmtId="0" fontId="1" fillId="3" borderId="0" xfId="2" applyFont="1" applyFill="1" applyBorder="1" applyAlignment="1" applyProtection="1">
      <alignment horizontal="center"/>
      <protection locked="0"/>
    </xf>
    <xf numFmtId="0" fontId="2" fillId="0" borderId="0" xfId="2" applyBorder="1" applyProtection="1"/>
    <xf numFmtId="0" fontId="10" fillId="2" borderId="0" xfId="0" applyFont="1" applyFill="1" applyAlignment="1" applyProtection="1">
      <alignment horizontal="centerContinuous"/>
    </xf>
    <xf numFmtId="0" fontId="10" fillId="2" borderId="0" xfId="0" applyFont="1" applyFill="1" applyProtection="1"/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165" fontId="11" fillId="2" borderId="0" xfId="0" applyNumberFormat="1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/>
    </xf>
    <xf numFmtId="165" fontId="11" fillId="0" borderId="6" xfId="0" applyNumberFormat="1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right"/>
    </xf>
    <xf numFmtId="0" fontId="1" fillId="3" borderId="0" xfId="0" applyFont="1" applyFill="1" applyAlignment="1" applyProtection="1">
      <alignment horizontal="center"/>
      <protection locked="0"/>
    </xf>
    <xf numFmtId="0" fontId="0" fillId="2" borderId="11" xfId="0" applyFill="1" applyBorder="1" applyProtection="1"/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8" xfId="0" applyBorder="1" applyProtection="1"/>
    <xf numFmtId="0" fontId="2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0" fillId="0" borderId="4" xfId="0" applyBorder="1" applyProtection="1"/>
    <xf numFmtId="0" fontId="14" fillId="2" borderId="5" xfId="0" applyFont="1" applyFill="1" applyBorder="1" applyAlignment="1" applyProtection="1">
      <alignment horizontal="center"/>
    </xf>
    <xf numFmtId="165" fontId="1" fillId="0" borderId="6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5" fillId="8" borderId="13" xfId="0" applyFont="1" applyFill="1" applyBorder="1" applyAlignment="1" applyProtection="1"/>
    <xf numFmtId="0" fontId="15" fillId="8" borderId="14" xfId="0" applyFont="1" applyFill="1" applyBorder="1" applyAlignment="1" applyProtection="1"/>
    <xf numFmtId="0" fontId="0" fillId="8" borderId="14" xfId="0" applyFill="1" applyBorder="1" applyProtection="1"/>
    <xf numFmtId="0" fontId="1" fillId="0" borderId="6" xfId="0" applyFont="1" applyBorder="1" applyProtection="1"/>
    <xf numFmtId="0" fontId="0" fillId="0" borderId="0" xfId="0" applyAlignment="1" applyProtection="1">
      <alignment horizontal="center"/>
      <protection locked="0"/>
    </xf>
    <xf numFmtId="0" fontId="1" fillId="5" borderId="9" xfId="0" applyNumberFormat="1" applyFont="1" applyFill="1" applyBorder="1" applyAlignment="1" applyProtection="1">
      <alignment horizontal="center"/>
      <protection locked="0"/>
    </xf>
    <xf numFmtId="0" fontId="1" fillId="5" borderId="10" xfId="0" applyNumberFormat="1" applyFont="1" applyFill="1" applyBorder="1" applyAlignment="1" applyProtection="1">
      <alignment horizontal="center"/>
      <protection locked="0"/>
    </xf>
    <xf numFmtId="0" fontId="1" fillId="5" borderId="6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Protection="1"/>
    <xf numFmtId="0" fontId="0" fillId="0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5" borderId="11" xfId="0" applyNumberFormat="1" applyFill="1" applyBorder="1" applyAlignment="1" applyProtection="1">
      <alignment horizontal="center"/>
      <protection locked="0"/>
    </xf>
    <xf numFmtId="0" fontId="0" fillId="5" borderId="12" xfId="0" applyNumberFormat="1" applyFill="1" applyBorder="1" applyAlignment="1" applyProtection="1">
      <alignment horizontal="center"/>
      <protection locked="0"/>
    </xf>
    <xf numFmtId="0" fontId="2" fillId="5" borderId="0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left"/>
    </xf>
    <xf numFmtId="0" fontId="3" fillId="2" borderId="16" xfId="0" applyFont="1" applyFill="1" applyBorder="1" applyAlignment="1" applyProtection="1">
      <alignment horizontal="right"/>
    </xf>
    <xf numFmtId="0" fontId="0" fillId="5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</xf>
    <xf numFmtId="0" fontId="1" fillId="2" borderId="0" xfId="0" applyFont="1" applyFill="1" applyBorder="1" applyAlignment="1" applyProtection="1"/>
    <xf numFmtId="164" fontId="1" fillId="2" borderId="0" xfId="0" applyNumberFormat="1" applyFont="1" applyFill="1" applyBorder="1" applyAlignment="1" applyProtection="1"/>
    <xf numFmtId="0" fontId="0" fillId="6" borderId="0" xfId="0" applyFill="1" applyProtection="1"/>
    <xf numFmtId="164" fontId="0" fillId="6" borderId="0" xfId="0" applyNumberFormat="1" applyFill="1" applyProtection="1"/>
    <xf numFmtId="0" fontId="0" fillId="0" borderId="0" xfId="0" applyFill="1" applyBorder="1" applyAlignment="1" applyProtection="1">
      <protection locked="0"/>
    </xf>
    <xf numFmtId="0" fontId="2" fillId="5" borderId="11" xfId="0" applyNumberFormat="1" applyFont="1" applyFill="1" applyBorder="1" applyAlignment="1" applyProtection="1">
      <alignment horizontal="center"/>
      <protection locked="0"/>
    </xf>
    <xf numFmtId="0" fontId="2" fillId="5" borderId="1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164" fontId="1" fillId="2" borderId="0" xfId="0" applyNumberFormat="1" applyFont="1" applyFill="1" applyProtection="1"/>
    <xf numFmtId="0" fontId="0" fillId="2" borderId="6" xfId="0" applyFill="1" applyBorder="1" applyAlignment="1" applyProtection="1">
      <alignment horizontal="left"/>
    </xf>
    <xf numFmtId="0" fontId="1" fillId="2" borderId="6" xfId="0" applyFont="1" applyFill="1" applyBorder="1" applyAlignment="1" applyProtection="1"/>
    <xf numFmtId="164" fontId="1" fillId="2" borderId="6" xfId="0" applyNumberFormat="1" applyFont="1" applyFill="1" applyBorder="1" applyAlignment="1" applyProtection="1"/>
    <xf numFmtId="0" fontId="0" fillId="0" borderId="0" xfId="0" applyProtection="1"/>
    <xf numFmtId="0" fontId="0" fillId="2" borderId="0" xfId="0" applyFill="1" applyBorder="1" applyAlignment="1" applyProtection="1"/>
    <xf numFmtId="0" fontId="0" fillId="5" borderId="0" xfId="0" applyNumberFormat="1" applyFill="1" applyAlignment="1" applyProtection="1">
      <alignment horizontal="center"/>
      <protection locked="0"/>
    </xf>
    <xf numFmtId="0" fontId="0" fillId="2" borderId="6" xfId="0" applyFill="1" applyBorder="1" applyAlignment="1" applyProtection="1"/>
    <xf numFmtId="0" fontId="2" fillId="2" borderId="8" xfId="0" applyFont="1" applyFill="1" applyBorder="1" applyProtection="1"/>
    <xf numFmtId="0" fontId="14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2" fillId="2" borderId="3" xfId="0" applyFont="1" applyFill="1" applyBorder="1" applyProtection="1"/>
    <xf numFmtId="0" fontId="1" fillId="2" borderId="0" xfId="0" applyFont="1" applyFill="1" applyBorder="1" applyProtection="1"/>
    <xf numFmtId="0" fontId="0" fillId="5" borderId="0" xfId="0" applyFill="1" applyBorder="1" applyProtection="1">
      <protection locked="0"/>
    </xf>
    <xf numFmtId="165" fontId="1" fillId="2" borderId="0" xfId="0" applyNumberFormat="1" applyFont="1" applyFill="1" applyBorder="1" applyProtection="1"/>
    <xf numFmtId="0" fontId="2" fillId="2" borderId="5" xfId="0" applyFont="1" applyFill="1" applyBorder="1" applyProtection="1"/>
    <xf numFmtId="0" fontId="1" fillId="2" borderId="7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1" fillId="2" borderId="8" xfId="0" applyFont="1" applyFill="1" applyBorder="1" applyProtection="1"/>
    <xf numFmtId="0" fontId="0" fillId="2" borderId="1" xfId="0" applyFill="1" applyBorder="1" applyProtection="1"/>
    <xf numFmtId="0" fontId="1" fillId="0" borderId="1" xfId="0" applyFont="1" applyBorder="1" applyProtection="1"/>
    <xf numFmtId="0" fontId="0" fillId="0" borderId="3" xfId="0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1" fillId="2" borderId="3" xfId="0" applyFont="1" applyFill="1" applyBorder="1" applyProtection="1"/>
    <xf numFmtId="164" fontId="1" fillId="2" borderId="0" xfId="0" applyNumberFormat="1" applyFont="1" applyFill="1" applyBorder="1" applyProtection="1"/>
    <xf numFmtId="0" fontId="1" fillId="2" borderId="4" xfId="0" applyFont="1" applyFill="1" applyBorder="1" applyProtection="1"/>
    <xf numFmtId="0" fontId="15" fillId="8" borderId="13" xfId="0" applyFont="1" applyFill="1" applyBorder="1" applyProtection="1"/>
    <xf numFmtId="0" fontId="15" fillId="8" borderId="18" xfId="0" applyFont="1" applyFill="1" applyBorder="1" applyProtection="1"/>
    <xf numFmtId="0" fontId="15" fillId="8" borderId="14" xfId="0" applyFont="1" applyFill="1" applyBorder="1" applyProtection="1"/>
    <xf numFmtId="0" fontId="1" fillId="2" borderId="5" xfId="0" applyFont="1" applyFill="1" applyBorder="1" applyProtection="1"/>
    <xf numFmtId="164" fontId="1" fillId="2" borderId="6" xfId="0" applyNumberFormat="1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0" fillId="2" borderId="0" xfId="2" applyFont="1" applyFill="1" applyProtection="1"/>
    <xf numFmtId="0" fontId="10" fillId="2" borderId="0" xfId="2" applyFont="1" applyFill="1" applyAlignment="1" applyProtection="1">
      <alignment horizontal="centerContinuous"/>
    </xf>
    <xf numFmtId="0" fontId="10" fillId="0" borderId="0" xfId="2" applyFont="1" applyProtection="1">
      <protection locked="0"/>
    </xf>
    <xf numFmtId="0" fontId="2" fillId="0" borderId="0" xfId="2" applyAlignment="1" applyProtection="1">
      <alignment horizontal="center"/>
      <protection locked="0"/>
    </xf>
    <xf numFmtId="0" fontId="6" fillId="0" borderId="0" xfId="2" applyFont="1" applyAlignment="1" applyProtection="1">
      <alignment horizontal="left"/>
      <protection locked="0"/>
    </xf>
    <xf numFmtId="0" fontId="2" fillId="0" borderId="0" xfId="2" applyBorder="1" applyProtection="1">
      <protection locked="0"/>
    </xf>
    <xf numFmtId="0" fontId="1" fillId="5" borderId="9" xfId="2" applyNumberFormat="1" applyFont="1" applyFill="1" applyBorder="1" applyAlignment="1" applyProtection="1">
      <alignment horizontal="center"/>
      <protection locked="0"/>
    </xf>
    <xf numFmtId="0" fontId="1" fillId="5" borderId="10" xfId="2" applyNumberFormat="1" applyFont="1" applyFill="1" applyBorder="1" applyAlignment="1" applyProtection="1">
      <alignment horizontal="center"/>
      <protection locked="0"/>
    </xf>
    <xf numFmtId="0" fontId="1" fillId="5" borderId="6" xfId="2" applyNumberFormat="1" applyFont="1" applyFill="1" applyBorder="1" applyAlignment="1" applyProtection="1">
      <alignment horizontal="center"/>
      <protection locked="0"/>
    </xf>
    <xf numFmtId="0" fontId="1" fillId="2" borderId="0" xfId="2" applyFont="1" applyFill="1" applyProtection="1"/>
    <xf numFmtId="0" fontId="2" fillId="0" borderId="0" xfId="2" applyFill="1" applyProtection="1">
      <protection locked="0"/>
    </xf>
    <xf numFmtId="2" fontId="2" fillId="0" borderId="0" xfId="2" applyNumberFormat="1" applyProtection="1">
      <protection locked="0"/>
    </xf>
    <xf numFmtId="0" fontId="2" fillId="5" borderId="11" xfId="2" applyNumberFormat="1" applyFill="1" applyBorder="1" applyAlignment="1" applyProtection="1">
      <alignment horizontal="center"/>
      <protection locked="0"/>
    </xf>
    <xf numFmtId="0" fontId="2" fillId="5" borderId="12" xfId="2" applyNumberFormat="1" applyFill="1" applyBorder="1" applyAlignment="1" applyProtection="1">
      <alignment horizontal="center"/>
      <protection locked="0"/>
    </xf>
    <xf numFmtId="0" fontId="2" fillId="5" borderId="0" xfId="2" applyNumberFormat="1" applyFont="1" applyFill="1" applyBorder="1" applyAlignment="1" applyProtection="1">
      <alignment horizontal="center"/>
      <protection locked="0"/>
    </xf>
    <xf numFmtId="0" fontId="3" fillId="2" borderId="16" xfId="2" applyFont="1" applyFill="1" applyBorder="1" applyAlignment="1" applyProtection="1">
      <alignment horizontal="left"/>
    </xf>
    <xf numFmtId="0" fontId="3" fillId="2" borderId="16" xfId="2" applyFont="1" applyFill="1" applyBorder="1" applyAlignment="1" applyProtection="1">
      <alignment horizontal="right"/>
    </xf>
    <xf numFmtId="0" fontId="2" fillId="5" borderId="0" xfId="2" applyNumberFormat="1" applyFill="1" applyBorder="1" applyAlignment="1" applyProtection="1">
      <alignment horizontal="center"/>
      <protection locked="0"/>
    </xf>
    <xf numFmtId="0" fontId="2" fillId="2" borderId="0" xfId="2" applyFill="1" applyBorder="1" applyAlignment="1" applyProtection="1">
      <alignment horizontal="left"/>
    </xf>
    <xf numFmtId="0" fontId="1" fillId="2" borderId="0" xfId="2" applyFont="1" applyFill="1" applyBorder="1" applyAlignment="1" applyProtection="1"/>
    <xf numFmtId="164" fontId="1" fillId="2" borderId="0" xfId="2" applyNumberFormat="1" applyFont="1" applyFill="1" applyBorder="1" applyAlignment="1" applyProtection="1"/>
    <xf numFmtId="0" fontId="2" fillId="6" borderId="0" xfId="2" applyFill="1" applyProtection="1"/>
    <xf numFmtId="164" fontId="2" fillId="6" borderId="0" xfId="2" applyNumberFormat="1" applyFill="1" applyProtection="1"/>
    <xf numFmtId="0" fontId="2" fillId="0" borderId="0" xfId="2" applyFill="1" applyBorder="1" applyAlignment="1" applyProtection="1">
      <protection locked="0"/>
    </xf>
    <xf numFmtId="0" fontId="2" fillId="5" borderId="11" xfId="2" applyNumberFormat="1" applyFont="1" applyFill="1" applyBorder="1" applyAlignment="1" applyProtection="1">
      <alignment horizontal="center"/>
      <protection locked="0"/>
    </xf>
    <xf numFmtId="0" fontId="2" fillId="5" borderId="12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Alignment="1" applyProtection="1">
      <alignment horizontal="left"/>
    </xf>
    <xf numFmtId="164" fontId="1" fillId="2" borderId="0" xfId="2" applyNumberFormat="1" applyFont="1" applyFill="1" applyProtection="1"/>
    <xf numFmtId="0" fontId="2" fillId="2" borderId="6" xfId="2" applyFill="1" applyBorder="1" applyAlignment="1" applyProtection="1">
      <alignment horizontal="left"/>
    </xf>
    <xf numFmtId="0" fontId="1" fillId="2" borderId="6" xfId="2" applyFont="1" applyFill="1" applyBorder="1" applyAlignment="1" applyProtection="1"/>
    <xf numFmtId="164" fontId="1" fillId="2" borderId="6" xfId="2" applyNumberFormat="1" applyFont="1" applyFill="1" applyBorder="1" applyAlignment="1" applyProtection="1"/>
    <xf numFmtId="0" fontId="2" fillId="0" borderId="0" xfId="2" applyProtection="1"/>
    <xf numFmtId="0" fontId="2" fillId="2" borderId="0" xfId="2" applyFill="1" applyBorder="1" applyAlignment="1" applyProtection="1"/>
    <xf numFmtId="0" fontId="2" fillId="5" borderId="0" xfId="2" applyNumberFormat="1" applyFill="1" applyAlignment="1" applyProtection="1">
      <alignment horizontal="center"/>
      <protection locked="0"/>
    </xf>
    <xf numFmtId="0" fontId="2" fillId="2" borderId="6" xfId="2" applyFill="1" applyBorder="1" applyAlignment="1" applyProtection="1"/>
    <xf numFmtId="0" fontId="2" fillId="2" borderId="8" xfId="2" applyFont="1" applyFill="1" applyBorder="1" applyProtection="1"/>
    <xf numFmtId="0" fontId="14" fillId="2" borderId="1" xfId="2" applyFont="1" applyFill="1" applyBorder="1" applyAlignment="1" applyProtection="1">
      <alignment horizontal="left"/>
    </xf>
    <xf numFmtId="0" fontId="1" fillId="2" borderId="1" xfId="2" applyFont="1" applyFill="1" applyBorder="1" applyProtection="1"/>
    <xf numFmtId="0" fontId="2" fillId="0" borderId="1" xfId="2" applyBorder="1" applyProtection="1"/>
    <xf numFmtId="0" fontId="2" fillId="0" borderId="2" xfId="2" applyBorder="1" applyProtection="1"/>
    <xf numFmtId="0" fontId="2" fillId="2" borderId="3" xfId="2" applyFont="1" applyFill="1" applyBorder="1" applyProtection="1"/>
    <xf numFmtId="0" fontId="1" fillId="2" borderId="0" xfId="2" applyFont="1" applyFill="1" applyBorder="1" applyProtection="1"/>
    <xf numFmtId="0" fontId="2" fillId="0" borderId="4" xfId="2" applyBorder="1" applyProtection="1"/>
    <xf numFmtId="0" fontId="2" fillId="5" borderId="0" xfId="2" applyFill="1" applyBorder="1" applyProtection="1">
      <protection locked="0"/>
    </xf>
    <xf numFmtId="165" fontId="1" fillId="2" borderId="0" xfId="2" applyNumberFormat="1" applyFont="1" applyFill="1" applyBorder="1" applyProtection="1"/>
    <xf numFmtId="0" fontId="2" fillId="2" borderId="5" xfId="2" applyFont="1" applyFill="1" applyBorder="1" applyProtection="1"/>
    <xf numFmtId="0" fontId="1" fillId="2" borderId="7" xfId="2" applyFont="1" applyFill="1" applyBorder="1" applyAlignment="1" applyProtection="1">
      <alignment horizontal="left"/>
    </xf>
    <xf numFmtId="0" fontId="2" fillId="2" borderId="6" xfId="2" applyFill="1" applyBorder="1" applyProtection="1"/>
    <xf numFmtId="0" fontId="2" fillId="0" borderId="7" xfId="2" applyBorder="1" applyProtection="1"/>
    <xf numFmtId="0" fontId="1" fillId="2" borderId="8" xfId="2" applyFont="1" applyFill="1" applyBorder="1" applyProtection="1"/>
    <xf numFmtId="0" fontId="2" fillId="2" borderId="1" xfId="2" applyFill="1" applyBorder="1" applyProtection="1"/>
    <xf numFmtId="0" fontId="1" fillId="0" borderId="1" xfId="2" applyFont="1" applyBorder="1" applyProtection="1"/>
    <xf numFmtId="0" fontId="2" fillId="0" borderId="3" xfId="2" applyBorder="1" applyAlignment="1" applyProtection="1">
      <alignment horizontal="center"/>
    </xf>
    <xf numFmtId="0" fontId="2" fillId="2" borderId="0" xfId="2" applyFill="1" applyBorder="1" applyAlignment="1" applyProtection="1">
      <alignment horizontal="center"/>
    </xf>
    <xf numFmtId="0" fontId="2" fillId="2" borderId="17" xfId="2" applyFont="1" applyFill="1" applyBorder="1" applyAlignment="1" applyProtection="1">
      <alignment horizontal="center"/>
    </xf>
    <xf numFmtId="0" fontId="2" fillId="2" borderId="15" xfId="2" applyFill="1" applyBorder="1" applyAlignment="1" applyProtection="1">
      <alignment horizontal="center"/>
    </xf>
    <xf numFmtId="0" fontId="1" fillId="2" borderId="3" xfId="2" applyFont="1" applyFill="1" applyBorder="1" applyProtection="1"/>
    <xf numFmtId="164" fontId="1" fillId="2" borderId="0" xfId="2" applyNumberFormat="1" applyFont="1" applyFill="1" applyBorder="1" applyProtection="1"/>
    <xf numFmtId="0" fontId="1" fillId="2" borderId="4" xfId="2" applyFont="1" applyFill="1" applyBorder="1" applyProtection="1"/>
    <xf numFmtId="0" fontId="15" fillId="8" borderId="13" xfId="2" applyFont="1" applyFill="1" applyBorder="1" applyProtection="1"/>
    <xf numFmtId="0" fontId="15" fillId="8" borderId="18" xfId="2" applyFont="1" applyFill="1" applyBorder="1" applyProtection="1"/>
    <xf numFmtId="0" fontId="15" fillId="8" borderId="14" xfId="2" applyFont="1" applyFill="1" applyBorder="1" applyProtection="1"/>
    <xf numFmtId="0" fontId="1" fillId="2" borderId="5" xfId="2" applyFont="1" applyFill="1" applyBorder="1" applyProtection="1"/>
    <xf numFmtId="164" fontId="1" fillId="2" borderId="6" xfId="2" applyNumberFormat="1" applyFont="1" applyFill="1" applyBorder="1" applyProtection="1"/>
    <xf numFmtId="0" fontId="1" fillId="2" borderId="6" xfId="2" applyFont="1" applyFill="1" applyBorder="1" applyProtection="1"/>
    <xf numFmtId="0" fontId="1" fillId="2" borderId="7" xfId="2" applyFont="1" applyFill="1" applyBorder="1" applyProtection="1"/>
    <xf numFmtId="0" fontId="2" fillId="5" borderId="0" xfId="3" applyNumberFormat="1" applyFill="1" applyProtection="1">
      <protection locked="0"/>
    </xf>
    <xf numFmtId="0" fontId="16" fillId="2" borderId="8" xfId="2" applyFont="1" applyFill="1" applyBorder="1" applyAlignment="1" applyProtection="1">
      <alignment horizontal="center"/>
    </xf>
    <xf numFmtId="0" fontId="2" fillId="2" borderId="2" xfId="2" applyFill="1" applyBorder="1" applyProtection="1"/>
    <xf numFmtId="1" fontId="2" fillId="0" borderId="0" xfId="2" applyNumberFormat="1" applyProtection="1">
      <protection locked="0"/>
    </xf>
    <xf numFmtId="164" fontId="1" fillId="2" borderId="4" xfId="2" applyNumberFormat="1" applyFont="1" applyFill="1" applyBorder="1" applyProtection="1"/>
    <xf numFmtId="164" fontId="1" fillId="2" borderId="7" xfId="2" applyNumberFormat="1" applyFont="1" applyFill="1" applyBorder="1" applyProtection="1"/>
    <xf numFmtId="0" fontId="2" fillId="2" borderId="3" xfId="2" applyFill="1" applyBorder="1" applyProtection="1"/>
    <xf numFmtId="0" fontId="1" fillId="2" borderId="5" xfId="2" quotePrefix="1" applyFont="1" applyFill="1" applyBorder="1" applyAlignment="1" applyProtection="1">
      <alignment horizontal="center"/>
    </xf>
    <xf numFmtId="0" fontId="2" fillId="2" borderId="7" xfId="2" applyFill="1" applyBorder="1" applyProtection="1"/>
    <xf numFmtId="0" fontId="2" fillId="5" borderId="0" xfId="2" applyNumberFormat="1" applyFill="1" applyProtection="1">
      <protection locked="0"/>
    </xf>
    <xf numFmtId="166" fontId="2" fillId="5" borderId="0" xfId="2" applyNumberFormat="1" applyFill="1" applyProtection="1">
      <protection locked="0"/>
    </xf>
    <xf numFmtId="0" fontId="2" fillId="2" borderId="0" xfId="2" applyFill="1" applyBorder="1" applyProtection="1"/>
    <xf numFmtId="0" fontId="2" fillId="2" borderId="4" xfId="2" applyFill="1" applyBorder="1" applyProtection="1"/>
    <xf numFmtId="0" fontId="16" fillId="2" borderId="0" xfId="2" applyFont="1" applyFill="1" applyBorder="1" applyAlignment="1" applyProtection="1">
      <alignment horizontal="center"/>
    </xf>
    <xf numFmtId="0" fontId="2" fillId="2" borderId="5" xfId="2" applyFill="1" applyBorder="1" applyProtection="1"/>
    <xf numFmtId="0" fontId="16" fillId="2" borderId="6" xfId="2" applyFont="1" applyFill="1" applyBorder="1" applyAlignment="1" applyProtection="1">
      <alignment horizontal="center"/>
    </xf>
    <xf numFmtId="165" fontId="2" fillId="2" borderId="0" xfId="2" applyNumberFormat="1" applyFill="1" applyBorder="1" applyProtection="1"/>
    <xf numFmtId="0" fontId="1" fillId="2" borderId="0" xfId="2" applyFont="1" applyFill="1" applyBorder="1" applyAlignment="1" applyProtection="1">
      <alignment horizontal="left"/>
    </xf>
    <xf numFmtId="0" fontId="1" fillId="2" borderId="6" xfId="2" applyFont="1" applyFill="1" applyBorder="1" applyAlignment="1" applyProtection="1">
      <alignment horizontal="left"/>
    </xf>
    <xf numFmtId="0" fontId="1" fillId="2" borderId="19" xfId="2" applyFont="1" applyFill="1" applyBorder="1" applyAlignment="1" applyProtection="1">
      <alignment horizontal="left"/>
    </xf>
    <xf numFmtId="0" fontId="3" fillId="2" borderId="20" xfId="2" applyFont="1" applyFill="1" applyBorder="1" applyAlignment="1" applyProtection="1">
      <alignment horizontal="right"/>
    </xf>
    <xf numFmtId="0" fontId="2" fillId="2" borderId="3" xfId="2" applyFill="1" applyBorder="1" applyAlignment="1" applyProtection="1"/>
    <xf numFmtId="165" fontId="1" fillId="2" borderId="0" xfId="2" applyNumberFormat="1" applyFont="1" applyFill="1" applyBorder="1" applyAlignment="1" applyProtection="1"/>
    <xf numFmtId="0" fontId="1" fillId="2" borderId="0" xfId="2" applyNumberFormat="1" applyFont="1" applyFill="1" applyBorder="1" applyAlignment="1" applyProtection="1"/>
    <xf numFmtId="165" fontId="1" fillId="2" borderId="4" xfId="2" applyNumberFormat="1" applyFont="1" applyFill="1" applyBorder="1" applyProtection="1"/>
    <xf numFmtId="165" fontId="1" fillId="2" borderId="4" xfId="2" applyNumberFormat="1" applyFont="1" applyFill="1" applyBorder="1" applyAlignment="1" applyProtection="1"/>
    <xf numFmtId="0" fontId="2" fillId="2" borderId="5" xfId="2" applyFill="1" applyBorder="1" applyAlignment="1" applyProtection="1"/>
    <xf numFmtId="165" fontId="1" fillId="2" borderId="6" xfId="2" applyNumberFormat="1" applyFont="1" applyFill="1" applyBorder="1" applyAlignment="1" applyProtection="1"/>
    <xf numFmtId="0" fontId="1" fillId="2" borderId="6" xfId="2" applyNumberFormat="1" applyFont="1" applyFill="1" applyBorder="1" applyAlignment="1" applyProtection="1"/>
    <xf numFmtId="0" fontId="1" fillId="2" borderId="7" xfId="2" applyNumberFormat="1" applyFont="1" applyFill="1" applyBorder="1" applyAlignment="1" applyProtection="1"/>
    <xf numFmtId="1" fontId="2" fillId="5" borderId="0" xfId="3" applyNumberFormat="1" applyFill="1" applyProtection="1">
      <protection locked="0"/>
    </xf>
    <xf numFmtId="0" fontId="1" fillId="2" borderId="0" xfId="3" applyFont="1" applyFill="1" applyProtection="1"/>
    <xf numFmtId="0" fontId="1" fillId="2" borderId="0" xfId="3" applyFont="1" applyFill="1" applyAlignment="1" applyProtection="1">
      <alignment horizontal="right"/>
    </xf>
    <xf numFmtId="0" fontId="17" fillId="5" borderId="8" xfId="3" applyFont="1" applyFill="1" applyBorder="1" applyProtection="1">
      <protection locked="0"/>
    </xf>
    <xf numFmtId="0" fontId="16" fillId="3" borderId="1" xfId="3" applyFont="1" applyFill="1" applyBorder="1" applyAlignment="1" applyProtection="1">
      <alignment horizontal="center"/>
      <protection locked="0"/>
    </xf>
    <xf numFmtId="0" fontId="16" fillId="3" borderId="2" xfId="3" applyFont="1" applyFill="1" applyBorder="1" applyAlignment="1" applyProtection="1">
      <alignment horizontal="center"/>
      <protection locked="0"/>
    </xf>
    <xf numFmtId="0" fontId="2" fillId="3" borderId="3" xfId="3" applyFont="1" applyFill="1" applyBorder="1" applyAlignment="1" applyProtection="1">
      <alignment horizontal="center"/>
      <protection locked="0"/>
    </xf>
    <xf numFmtId="0" fontId="2" fillId="5" borderId="0" xfId="3" applyNumberFormat="1" applyFill="1" applyBorder="1" applyProtection="1">
      <protection locked="0"/>
    </xf>
    <xf numFmtId="0" fontId="2" fillId="5" borderId="4" xfId="3" applyNumberFormat="1" applyFill="1" applyBorder="1" applyProtection="1">
      <protection locked="0"/>
    </xf>
    <xf numFmtId="0" fontId="2" fillId="5" borderId="0" xfId="2" applyNumberFormat="1" applyFill="1" applyBorder="1" applyProtection="1">
      <protection locked="0"/>
    </xf>
    <xf numFmtId="0" fontId="2" fillId="5" borderId="4" xfId="2" applyNumberFormat="1" applyFill="1" applyBorder="1" applyProtection="1">
      <protection locked="0"/>
    </xf>
    <xf numFmtId="9" fontId="0" fillId="5" borderId="0" xfId="5" applyFont="1" applyFill="1" applyBorder="1" applyProtection="1">
      <protection locked="0"/>
    </xf>
    <xf numFmtId="0" fontId="1" fillId="7" borderId="0" xfId="2" applyFont="1" applyFill="1" applyProtection="1">
      <protection locked="0"/>
    </xf>
    <xf numFmtId="0" fontId="2" fillId="7" borderId="0" xfId="2" applyFill="1" applyProtection="1">
      <protection locked="0"/>
    </xf>
    <xf numFmtId="0" fontId="2" fillId="3" borderId="5" xfId="3" applyFont="1" applyFill="1" applyBorder="1" applyAlignment="1" applyProtection="1">
      <alignment horizontal="center"/>
      <protection locked="0"/>
    </xf>
    <xf numFmtId="0" fontId="2" fillId="5" borderId="6" xfId="2" applyNumberFormat="1" applyFill="1" applyBorder="1" applyProtection="1">
      <protection locked="0"/>
    </xf>
    <xf numFmtId="0" fontId="2" fillId="5" borderId="7" xfId="2" applyNumberFormat="1" applyFill="1" applyBorder="1" applyProtection="1">
      <protection locked="0"/>
    </xf>
    <xf numFmtId="0" fontId="2" fillId="0" borderId="0" xfId="2"/>
    <xf numFmtId="0" fontId="20" fillId="0" borderId="13" xfId="2" applyFont="1" applyBorder="1" applyProtection="1"/>
    <xf numFmtId="0" fontId="2" fillId="0" borderId="14" xfId="2" applyBorder="1" applyProtection="1"/>
    <xf numFmtId="0" fontId="2" fillId="0" borderId="18" xfId="2" applyBorder="1" applyProtection="1"/>
    <xf numFmtId="0" fontId="2" fillId="9" borderId="0" xfId="2" applyFill="1" applyProtection="1">
      <protection locked="0"/>
    </xf>
    <xf numFmtId="1" fontId="2" fillId="9" borderId="0" xfId="2" applyNumberFormat="1" applyFill="1" applyProtection="1">
      <protection locked="0"/>
    </xf>
    <xf numFmtId="0" fontId="1" fillId="9" borderId="0" xfId="0" applyFont="1" applyFill="1" applyProtection="1">
      <protection locked="0"/>
    </xf>
    <xf numFmtId="0" fontId="1" fillId="0" borderId="7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0" fillId="0" borderId="6" xfId="0" applyBorder="1"/>
    <xf numFmtId="0" fontId="5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8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1" fillId="0" borderId="0" xfId="0" applyFont="1" applyProtection="1">
      <protection locked="0"/>
    </xf>
    <xf numFmtId="0" fontId="2" fillId="2" borderId="0" xfId="0" applyFont="1" applyFill="1"/>
    <xf numFmtId="0" fontId="22" fillId="2" borderId="0" xfId="0" applyFont="1" applyFill="1"/>
    <xf numFmtId="0" fontId="0" fillId="2" borderId="0" xfId="0" applyFill="1" applyAlignment="1">
      <alignment horizontal="centerContinuous"/>
    </xf>
    <xf numFmtId="0" fontId="6" fillId="2" borderId="0" xfId="0" applyFont="1" applyFill="1" applyAlignment="1">
      <alignment horizontal="left"/>
    </xf>
    <xf numFmtId="0" fontId="1" fillId="0" borderId="7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2" fillId="2" borderId="5" xfId="0" applyFont="1" applyFill="1" applyBorder="1" applyAlignment="1">
      <alignment horizontal="center"/>
    </xf>
    <xf numFmtId="0" fontId="0" fillId="2" borderId="0" xfId="0" applyFill="1"/>
    <xf numFmtId="0" fontId="1" fillId="3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/>
    <xf numFmtId="0" fontId="0" fillId="9" borderId="0" xfId="0" applyFill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0" xfId="2" applyFill="1" applyBorder="1" applyAlignment="1" applyProtection="1">
      <alignment horizontal="center"/>
    </xf>
    <xf numFmtId="0" fontId="2" fillId="2" borderId="4" xfId="2" applyFill="1" applyBorder="1" applyAlignment="1" applyProtection="1">
      <alignment horizontal="center"/>
    </xf>
    <xf numFmtId="0" fontId="2" fillId="2" borderId="15" xfId="2" applyFont="1" applyFill="1" applyBorder="1" applyAlignment="1" applyProtection="1">
      <alignment horizontal="center"/>
    </xf>
    <xf numFmtId="0" fontId="2" fillId="2" borderId="21" xfId="2" applyFont="1" applyFill="1" applyBorder="1" applyAlignment="1" applyProtection="1">
      <alignment horizontal="center"/>
    </xf>
    <xf numFmtId="0" fontId="16" fillId="2" borderId="8" xfId="2" applyFont="1" applyFill="1" applyBorder="1" applyAlignment="1" applyProtection="1">
      <alignment horizontal="center"/>
    </xf>
    <xf numFmtId="0" fontId="16" fillId="2" borderId="1" xfId="2" applyFont="1" applyFill="1" applyBorder="1" applyAlignment="1" applyProtection="1">
      <alignment horizontal="center"/>
    </xf>
    <xf numFmtId="0" fontId="18" fillId="0" borderId="0" xfId="2" applyFont="1" applyAlignment="1" applyProtection="1">
      <alignment horizontal="center"/>
    </xf>
    <xf numFmtId="0" fontId="19" fillId="0" borderId="0" xfId="2" applyFont="1" applyAlignment="1" applyProtection="1">
      <alignment horizontal="center" vertical="center" textRotation="90"/>
    </xf>
    <xf numFmtId="0" fontId="19" fillId="0" borderId="0" xfId="2" applyFont="1" applyAlignment="1" applyProtection="1">
      <alignment horizontal="center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/>
    <xf numFmtId="0" fontId="2" fillId="0" borderId="0" xfId="0" applyFont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22" fillId="0" borderId="8" xfId="0" applyFont="1" applyBorder="1"/>
    <xf numFmtId="0" fontId="22" fillId="0" borderId="3" xfId="0" applyFont="1" applyBorder="1"/>
    <xf numFmtId="165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8" borderId="13" xfId="0" applyFont="1" applyFill="1" applyBorder="1"/>
    <xf numFmtId="0" fontId="15" fillId="8" borderId="18" xfId="0" applyFont="1" applyFill="1" applyBorder="1"/>
    <xf numFmtId="0" fontId="15" fillId="8" borderId="14" xfId="0" applyFont="1" applyFill="1" applyBorder="1"/>
    <xf numFmtId="0" fontId="1" fillId="0" borderId="0" xfId="0" applyFont="1" applyAlignment="1" applyProtection="1">
      <alignment horizontal="centerContinuous"/>
      <protection locked="0"/>
    </xf>
    <xf numFmtId="0" fontId="0" fillId="0" borderId="8" xfId="0" applyBorder="1"/>
    <xf numFmtId="0" fontId="1" fillId="2" borderId="5" xfId="0" applyFont="1" applyFill="1" applyBorder="1" applyAlignment="1">
      <alignment horizontal="center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0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0" fillId="2" borderId="11" xfId="0" applyFill="1" applyBorder="1"/>
    <xf numFmtId="0" fontId="3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8" borderId="18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0" fontId="1" fillId="9" borderId="0" xfId="2" applyFont="1" applyFill="1" applyProtection="1">
      <protection locked="0"/>
    </xf>
    <xf numFmtId="167" fontId="1" fillId="2" borderId="4" xfId="6" applyNumberFormat="1" applyFont="1" applyFill="1" applyBorder="1" applyProtection="1"/>
    <xf numFmtId="1" fontId="1" fillId="9" borderId="0" xfId="2" applyNumberFormat="1" applyFont="1" applyFill="1" applyProtection="1">
      <protection locked="0"/>
    </xf>
  </cellXfs>
  <cellStyles count="7">
    <cellStyle name="Comma 2" xfId="1" xr:uid="{00000000-0005-0000-0000-000000000000}"/>
    <cellStyle name="Normal" xfId="0" builtinId="0"/>
    <cellStyle name="Normal 2" xfId="2" xr:uid="{00000000-0005-0000-0000-000002000000}"/>
    <cellStyle name="Normal_stat week 7 2" xfId="3" xr:uid="{00000000-0005-0000-0000-000003000000}"/>
    <cellStyle name="Percent" xfId="6" builtinId="5"/>
    <cellStyle name="Percent 2" xfId="4" xr:uid="{00000000-0005-0000-0000-000004000000}"/>
    <cellStyle name="Percent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hartsheet" Target="chart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0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2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hartsheet" Target="chartsheets/sheet1.xml"/><Relationship Id="rId30" Type="http://schemas.openxmlformats.org/officeDocument/2006/relationships/worksheet" Target="worksheets/sheet28.xml"/><Relationship Id="rId35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Confidence Intervals of Groups</a:t>
            </a:r>
          </a:p>
        </c:rich>
      </c:tx>
      <c:layout>
        <c:manualLayout>
          <c:xMode val="edge"/>
          <c:yMode val="edge"/>
          <c:x val="0.33629300776914539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955604883462822E-2"/>
          <c:y val="0.12724306688417622"/>
          <c:w val="0.94894561598224192"/>
          <c:h val="0.80587275693311589"/>
        </c:manualLayout>
      </c:layout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plus"/>
            <c:errValType val="fixedVal"/>
            <c:noEndCap val="0"/>
            <c:val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'12.9a'!$U$5:$U$9</c:f>
              <c:strCache>
                <c:ptCount val="5"/>
                <c:pt idx="0">
                  <c:v>Southwyck</c:v>
                </c:pt>
                <c:pt idx="1">
                  <c:v>Franklin</c:v>
                </c:pt>
                <c:pt idx="2">
                  <c:v>Orchard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'12.9a'!$V$5:$V$9</c:f>
              <c:numCache>
                <c:formatCode>0.000</c:formatCode>
                <c:ptCount val="5"/>
                <c:pt idx="0">
                  <c:v>69.03179173843435</c:v>
                </c:pt>
                <c:pt idx="1">
                  <c:v>74.53179173843435</c:v>
                </c:pt>
                <c:pt idx="2">
                  <c:v>80.78179173843435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C3-4DE7-9D4D-074F7F8B890F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fixedVal"/>
            <c:noEndCap val="0"/>
            <c:val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'12.9a'!$U$5:$U$9</c:f>
              <c:strCache>
                <c:ptCount val="5"/>
                <c:pt idx="0">
                  <c:v>Southwyck</c:v>
                </c:pt>
                <c:pt idx="1">
                  <c:v>Franklin</c:v>
                </c:pt>
                <c:pt idx="2">
                  <c:v>Orchard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'12.9a'!$W$5:$W$9</c:f>
              <c:numCache>
                <c:formatCode>0.000</c:formatCode>
                <c:ptCount val="5"/>
                <c:pt idx="0">
                  <c:v>61.96820826156565</c:v>
                </c:pt>
                <c:pt idx="1">
                  <c:v>67.46820826156565</c:v>
                </c:pt>
                <c:pt idx="2">
                  <c:v>73.71820826156565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C3-4DE7-9D4D-074F7F8B890F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'12.9a'!$U$5:$U$9</c:f>
              <c:strCache>
                <c:ptCount val="5"/>
                <c:pt idx="0">
                  <c:v>Southwyck</c:v>
                </c:pt>
                <c:pt idx="1">
                  <c:v>Franklin</c:v>
                </c:pt>
                <c:pt idx="2">
                  <c:v>Orchard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'12.9a'!$X$5:$X$9</c:f>
              <c:numCache>
                <c:formatCode>0.000</c:formatCode>
                <c:ptCount val="5"/>
                <c:pt idx="0">
                  <c:v>65.5</c:v>
                </c:pt>
                <c:pt idx="1">
                  <c:v>71</c:v>
                </c:pt>
                <c:pt idx="2">
                  <c:v>77.25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C3-4DE7-9D4D-074F7F8B8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000000"/>
              </a:solidFill>
              <a:prstDash val="solid"/>
            </a:ln>
          </c:spPr>
        </c:hiLowLines>
        <c:axId val="691150880"/>
        <c:axId val="1"/>
      </c:stockChart>
      <c:catAx>
        <c:axId val="691150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15088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Confidence Intervals of Groups</a:t>
            </a:r>
          </a:p>
        </c:rich>
      </c:tx>
      <c:layout>
        <c:manualLayout>
          <c:xMode val="edge"/>
          <c:yMode val="edge"/>
          <c:x val="0.33629300776914539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955604883462822E-2"/>
          <c:y val="0.12724306688417622"/>
          <c:w val="0.94894561598224192"/>
          <c:h val="0.80587275693311589"/>
        </c:manualLayout>
      </c:layout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plus"/>
            <c:errValType val="fixedVal"/>
            <c:noEndCap val="0"/>
            <c:val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'12.10a'!$U$5:$U$9</c:f>
              <c:strCache>
                <c:ptCount val="5"/>
                <c:pt idx="0">
                  <c:v>Banking</c:v>
                </c:pt>
                <c:pt idx="1">
                  <c:v>Retail</c:v>
                </c:pt>
                <c:pt idx="2">
                  <c:v>Insurance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'12.10a'!$V$5:$V$9</c:f>
              <c:numCache>
                <c:formatCode>0.000</c:formatCode>
                <c:ptCount val="5"/>
                <c:pt idx="0">
                  <c:v>12.178002227388987</c:v>
                </c:pt>
                <c:pt idx="1">
                  <c:v>9.3780022273889863</c:v>
                </c:pt>
                <c:pt idx="2">
                  <c:v>9.7780022273889848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B-4FFF-81A1-B85069499BA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fixedVal"/>
            <c:noEndCap val="0"/>
            <c:val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'12.10a'!$U$5:$U$9</c:f>
              <c:strCache>
                <c:ptCount val="5"/>
                <c:pt idx="0">
                  <c:v>Banking</c:v>
                </c:pt>
                <c:pt idx="1">
                  <c:v>Retail</c:v>
                </c:pt>
                <c:pt idx="2">
                  <c:v>Insurance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'12.10a'!$W$5:$W$9</c:f>
              <c:numCache>
                <c:formatCode>0.000</c:formatCode>
                <c:ptCount val="5"/>
                <c:pt idx="0">
                  <c:v>9.4219977726110145</c:v>
                </c:pt>
                <c:pt idx="1">
                  <c:v>6.6219977726110146</c:v>
                </c:pt>
                <c:pt idx="2">
                  <c:v>7.021997772611015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B-4FFF-81A1-B85069499BA1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'12.10a'!$U$5:$U$9</c:f>
              <c:strCache>
                <c:ptCount val="5"/>
                <c:pt idx="0">
                  <c:v>Banking</c:v>
                </c:pt>
                <c:pt idx="1">
                  <c:v>Retail</c:v>
                </c:pt>
                <c:pt idx="2">
                  <c:v>Insurance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'12.10a'!$X$5:$X$9</c:f>
              <c:numCache>
                <c:formatCode>0.000</c:formatCode>
                <c:ptCount val="5"/>
                <c:pt idx="0">
                  <c:v>10.8</c:v>
                </c:pt>
                <c:pt idx="1">
                  <c:v>8</c:v>
                </c:pt>
                <c:pt idx="2">
                  <c:v>8.4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0B-4FFF-81A1-B85069499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000000"/>
              </a:solidFill>
              <a:prstDash val="solid"/>
            </a:ln>
          </c:spPr>
        </c:hiLowLines>
        <c:axId val="691146944"/>
        <c:axId val="1"/>
      </c:stockChart>
      <c:catAx>
        <c:axId val="691146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1469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75059604720548E-2"/>
          <c:y val="4.779416054594203E-2"/>
          <c:w val="0.92317825721519164"/>
          <c:h val="0.858456652882881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'13.5a'!$C$3</c:f>
              <c:strCache>
                <c:ptCount val="1"/>
                <c:pt idx="0">
                  <c:v>crimes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'13.5a'!$B$4:$B$128</c:f>
              <c:numCache>
                <c:formatCode>General</c:formatCode>
                <c:ptCount val="125"/>
                <c:pt idx="0" formatCode="0">
                  <c:v>15</c:v>
                </c:pt>
                <c:pt idx="1">
                  <c:v>17</c:v>
                </c:pt>
                <c:pt idx="2">
                  <c:v>25</c:v>
                </c:pt>
                <c:pt idx="3">
                  <c:v>27</c:v>
                </c:pt>
                <c:pt idx="4">
                  <c:v>17</c:v>
                </c:pt>
                <c:pt idx="5">
                  <c:v>12</c:v>
                </c:pt>
                <c:pt idx="6">
                  <c:v>11</c:v>
                </c:pt>
                <c:pt idx="7">
                  <c:v>22</c:v>
                </c:pt>
              </c:numCache>
            </c:numRef>
          </c:xVal>
          <c:yVal>
            <c:numRef>
              <c:f>'13.5a'!$C$4:$C$128</c:f>
              <c:numCache>
                <c:formatCode>General</c:formatCode>
                <c:ptCount val="125"/>
                <c:pt idx="0">
                  <c:v>17</c:v>
                </c:pt>
                <c:pt idx="1">
                  <c:v>13</c:v>
                </c:pt>
                <c:pt idx="2">
                  <c:v>5</c:v>
                </c:pt>
                <c:pt idx="3" formatCode="0">
                  <c:v>7</c:v>
                </c:pt>
                <c:pt idx="4">
                  <c:v>7</c:v>
                </c:pt>
                <c:pt idx="5">
                  <c:v>21</c:v>
                </c:pt>
                <c:pt idx="6">
                  <c:v>19</c:v>
                </c:pt>
                <c:pt idx="7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CD-497B-8221-88D00CB8C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147928"/>
        <c:axId val="1"/>
      </c:scatterChart>
      <c:valAx>
        <c:axId val="691147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1479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75059604720548E-2"/>
          <c:y val="4.779416054594203E-2"/>
          <c:w val="0.92317825721519164"/>
          <c:h val="0.858456652882881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'13.15a'!$C$3</c:f>
              <c:strCache>
                <c:ptCount val="1"/>
                <c:pt idx="0">
                  <c:v>Earnings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'13.15a'!$B$4:$B$128</c:f>
              <c:numCache>
                <c:formatCode>General</c:formatCode>
                <c:ptCount val="125"/>
                <c:pt idx="0">
                  <c:v>89.2</c:v>
                </c:pt>
                <c:pt idx="1">
                  <c:v>18.600000000000001</c:v>
                </c:pt>
                <c:pt idx="2">
                  <c:v>18.2</c:v>
                </c:pt>
                <c:pt idx="3">
                  <c:v>71.7</c:v>
                </c:pt>
                <c:pt idx="4">
                  <c:v>58.6</c:v>
                </c:pt>
                <c:pt idx="5">
                  <c:v>46.8</c:v>
                </c:pt>
                <c:pt idx="6">
                  <c:v>17.5</c:v>
                </c:pt>
                <c:pt idx="7">
                  <c:v>11.9</c:v>
                </c:pt>
                <c:pt idx="8">
                  <c:v>19.600000000000001</c:v>
                </c:pt>
                <c:pt idx="9">
                  <c:v>51.2</c:v>
                </c:pt>
                <c:pt idx="10">
                  <c:v>28.6</c:v>
                </c:pt>
                <c:pt idx="11">
                  <c:v>69.2</c:v>
                </c:pt>
              </c:numCache>
            </c:numRef>
          </c:xVal>
          <c:yVal>
            <c:numRef>
              <c:f>'13.15a'!$C$4:$C$128</c:f>
              <c:numCache>
                <c:formatCode>General</c:formatCode>
                <c:ptCount val="125"/>
                <c:pt idx="0">
                  <c:v>4.9000000000000004</c:v>
                </c:pt>
                <c:pt idx="1">
                  <c:v>4.4000000000000004</c:v>
                </c:pt>
                <c:pt idx="2">
                  <c:v>1.3</c:v>
                </c:pt>
                <c:pt idx="3">
                  <c:v>8</c:v>
                </c:pt>
                <c:pt idx="4">
                  <c:v>6.6</c:v>
                </c:pt>
                <c:pt idx="5">
                  <c:v>4.0999999999999996</c:v>
                </c:pt>
                <c:pt idx="6">
                  <c:v>2.6</c:v>
                </c:pt>
                <c:pt idx="7">
                  <c:v>1.7</c:v>
                </c:pt>
                <c:pt idx="8">
                  <c:v>3.5</c:v>
                </c:pt>
                <c:pt idx="9">
                  <c:v>8.1999999999999993</c:v>
                </c:pt>
                <c:pt idx="10">
                  <c:v>6</c:v>
                </c:pt>
                <c:pt idx="11">
                  <c:v>12.8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C7-4D17-88F2-77156A1F5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149240"/>
        <c:axId val="1"/>
      </c:scatterChart>
      <c:valAx>
        <c:axId val="69114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1492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/>
  <sheetViews>
    <sheetView zoomScale="84" workbookViewId="0"/>
  </sheetViews>
  <sheetProtection password="87CD" content="1" objects="1"/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zoomScale="84" workbookViewId="0"/>
  </sheetViews>
  <sheetProtection password="87CD" content="1" objects="1"/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204A87-0A71-4F26-B355-4BC344B95D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54D11E-0151-4579-8EDB-2F773A9423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</xdr:rowOff>
    </xdr:from>
    <xdr:to>
      <xdr:col>13</xdr:col>
      <xdr:colOff>0</xdr:colOff>
      <xdr:row>30</xdr:row>
      <xdr:rowOff>0</xdr:rowOff>
    </xdr:to>
    <xdr:graphicFrame macro="">
      <xdr:nvGraphicFramePr>
        <xdr:cNvPr id="47141" name="Chart 1">
          <a:extLst>
            <a:ext uri="{FF2B5EF4-FFF2-40B4-BE49-F238E27FC236}">
              <a16:creationId xmlns:a16="http://schemas.microsoft.com/office/drawing/2014/main" id="{FA7D0555-AC0B-4BBD-8988-0162B41CD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</xdr:rowOff>
    </xdr:from>
    <xdr:to>
      <xdr:col>13</xdr:col>
      <xdr:colOff>0</xdr:colOff>
      <xdr:row>30</xdr:row>
      <xdr:rowOff>0</xdr:rowOff>
    </xdr:to>
    <xdr:graphicFrame macro="">
      <xdr:nvGraphicFramePr>
        <xdr:cNvPr id="51236" name="Chart 1">
          <a:extLst>
            <a:ext uri="{FF2B5EF4-FFF2-40B4-BE49-F238E27FC236}">
              <a16:creationId xmlns:a16="http://schemas.microsoft.com/office/drawing/2014/main" id="{9DBDC556-7E98-4C3C-AFB7-33AA64F4A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r.%20Jim/My%20Documents/Dr.%20Jim/TEACH/Webster/BUSN5760/online/Nonparametric%20Tes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bpages/resources/Hypothesis_Tests_Two_Samples%20(unprotec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"/>
      <sheetName val="Runs"/>
      <sheetName val="Wilcoxon"/>
      <sheetName val="Kruskal-Wallis"/>
      <sheetName val="Friedman"/>
      <sheetName val="Spearman"/>
    </sheetNames>
    <sheetDataSet>
      <sheetData sheetId="0">
        <row r="4">
          <cell r="C4" t="str">
            <v>+</v>
          </cell>
        </row>
        <row r="5">
          <cell r="C5" t="str">
            <v>+</v>
          </cell>
        </row>
        <row r="6">
          <cell r="C6" t="str">
            <v>+</v>
          </cell>
        </row>
        <row r="7">
          <cell r="C7" t="str">
            <v>+</v>
          </cell>
        </row>
        <row r="8">
          <cell r="C8" t="str">
            <v>+</v>
          </cell>
        </row>
        <row r="9">
          <cell r="C9" t="str">
            <v>-</v>
          </cell>
        </row>
        <row r="10">
          <cell r="C10" t="str">
            <v>+</v>
          </cell>
        </row>
        <row r="11">
          <cell r="C11" t="str">
            <v>-</v>
          </cell>
        </row>
        <row r="12">
          <cell r="C12" t="str">
            <v>+</v>
          </cell>
        </row>
        <row r="13">
          <cell r="C13" t="str">
            <v>+</v>
          </cell>
        </row>
        <row r="14">
          <cell r="C14" t="str">
            <v>+</v>
          </cell>
        </row>
        <row r="15">
          <cell r="C15" t="str">
            <v>+</v>
          </cell>
        </row>
        <row r="16">
          <cell r="C16" t="str">
            <v>+</v>
          </cell>
        </row>
        <row r="17">
          <cell r="C17" t="str">
            <v>-</v>
          </cell>
        </row>
        <row r="18">
          <cell r="C18" t="str">
            <v>+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 - INDEP"/>
      <sheetName val="Mean - INDEP (raw data)"/>
      <sheetName val="Mean - PAIRED"/>
      <sheetName val="Proport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A17" sqref="A17"/>
    </sheetView>
  </sheetViews>
  <sheetFormatPr defaultColWidth="9.109375" defaultRowHeight="13.2" x14ac:dyDescent="0.25"/>
  <cols>
    <col min="1" max="1" width="25.6640625" style="2" customWidth="1"/>
    <col min="2" max="2" width="17.44140625" style="2" customWidth="1"/>
    <col min="3" max="3" width="17.33203125" style="2" customWidth="1"/>
    <col min="4" max="4" width="12.33203125" style="2" customWidth="1"/>
    <col min="5" max="5" width="30.88671875" style="2" bestFit="1" customWidth="1"/>
    <col min="6" max="16384" width="9.109375" style="2"/>
  </cols>
  <sheetData>
    <row r="1" spans="1:5" ht="21" x14ac:dyDescent="0.4">
      <c r="A1" s="257" t="s">
        <v>221</v>
      </c>
      <c r="B1" s="256"/>
      <c r="C1" s="256"/>
      <c r="D1" s="256"/>
      <c r="E1" s="1"/>
    </row>
    <row r="2" spans="1:5" ht="11.85" customHeight="1" x14ac:dyDescent="0.25"/>
    <row r="3" spans="1:5" x14ac:dyDescent="0.25">
      <c r="A3" s="255" t="s">
        <v>220</v>
      </c>
      <c r="B3" s="37">
        <v>60000</v>
      </c>
      <c r="C3" s="253"/>
      <c r="D3" s="253"/>
      <c r="E3" s="253"/>
    </row>
    <row r="4" spans="1:5" x14ac:dyDescent="0.25">
      <c r="A4" s="254" t="s">
        <v>0</v>
      </c>
      <c r="B4" s="37">
        <v>0.05</v>
      </c>
      <c r="C4" s="253"/>
      <c r="D4" s="253"/>
      <c r="E4" s="253"/>
    </row>
    <row r="5" spans="1:5" x14ac:dyDescent="0.25">
      <c r="A5" s="254" t="s">
        <v>1</v>
      </c>
      <c r="B5" s="37">
        <v>48</v>
      </c>
      <c r="C5" s="253"/>
      <c r="D5" s="253"/>
      <c r="E5" s="253"/>
    </row>
    <row r="6" spans="1:5" x14ac:dyDescent="0.25">
      <c r="A6" s="254" t="s">
        <v>2</v>
      </c>
      <c r="B6" s="37">
        <v>59500</v>
      </c>
      <c r="C6" s="253"/>
      <c r="D6" s="253"/>
      <c r="E6" s="253"/>
    </row>
    <row r="7" spans="1:5" x14ac:dyDescent="0.25">
      <c r="A7" s="254" t="s">
        <v>219</v>
      </c>
      <c r="B7" s="37">
        <v>5000</v>
      </c>
      <c r="C7" s="253"/>
      <c r="D7" s="253"/>
      <c r="E7" s="253"/>
    </row>
    <row r="8" spans="1:5" x14ac:dyDescent="0.25">
      <c r="E8" s="3"/>
    </row>
    <row r="9" spans="1:5" x14ac:dyDescent="0.25">
      <c r="A9" s="252" t="s">
        <v>8</v>
      </c>
      <c r="B9" s="251">
        <f>(B6-B3)/(B7/SQRT(B5))</f>
        <v>-0.69282032302755092</v>
      </c>
      <c r="E9" s="3"/>
    </row>
    <row r="10" spans="1:5" x14ac:dyDescent="0.25">
      <c r="E10" s="3"/>
    </row>
    <row r="11" spans="1:5" ht="13.8" thickBot="1" x14ac:dyDescent="0.3">
      <c r="E11" s="3"/>
    </row>
    <row r="12" spans="1:5" x14ac:dyDescent="0.25">
      <c r="A12" s="250" t="s">
        <v>218</v>
      </c>
      <c r="B12" s="249" t="s">
        <v>9</v>
      </c>
      <c r="C12" s="249" t="s">
        <v>10</v>
      </c>
      <c r="D12" s="248" t="s">
        <v>12</v>
      </c>
      <c r="E12" s="247" t="s">
        <v>5</v>
      </c>
    </row>
    <row r="13" spans="1:5" x14ac:dyDescent="0.25">
      <c r="A13" s="246"/>
      <c r="B13"/>
      <c r="C13"/>
      <c r="D13" s="245"/>
      <c r="E13" s="244"/>
    </row>
    <row r="14" spans="1:5" x14ac:dyDescent="0.25">
      <c r="A14" s="243" t="s">
        <v>3</v>
      </c>
      <c r="B14" s="242">
        <f>IF($B$5&gt;29,NORMSINV($B$4/2),-TINV($B$4,$B$5-1))</f>
        <v>-1.9599639845400538</v>
      </c>
      <c r="C14" s="242">
        <f>IF($B$5&gt;29,NORMSINV(1-$B$4/2),TINV($B$4,$B$5-1))</f>
        <v>1.9599639845400536</v>
      </c>
      <c r="D14" s="242">
        <f>IF(B5&lt;30,TDIST(ABS(B9),B5-1,2),2*(1-NORMSDIST(ABS(B9))))</f>
        <v>0.48842231662259339</v>
      </c>
      <c r="E14" s="241" t="str">
        <f>IF(D14&lt;$B$4,"Reject the null hypothesis","Do not reject the null hypothesis")</f>
        <v>Do not reject the null hypothesis</v>
      </c>
    </row>
    <row r="15" spans="1:5" ht="13.8" thickBot="1" x14ac:dyDescent="0.3">
      <c r="A15" s="240" t="str">
        <f>"HA:  m &lt;&gt; "&amp;B3</f>
        <v>HA:  m &lt;&gt; 60000</v>
      </c>
      <c r="B15" s="239"/>
      <c r="C15" s="239"/>
      <c r="D15" s="238"/>
      <c r="E15" s="237"/>
    </row>
    <row r="17" spans="1:5" x14ac:dyDescent="0.25">
      <c r="A17" s="236" t="s">
        <v>227</v>
      </c>
      <c r="B17" s="236"/>
      <c r="C17" s="236"/>
      <c r="D17" s="236"/>
      <c r="E17" s="236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B2803-2686-452F-9973-B47DF0B8FBF8}">
  <dimension ref="A1:E17"/>
  <sheetViews>
    <sheetView workbookViewId="0">
      <selection activeCell="B24" sqref="B24"/>
    </sheetView>
  </sheetViews>
  <sheetFormatPr defaultColWidth="9.109375" defaultRowHeight="13.2" x14ac:dyDescent="0.25"/>
  <cols>
    <col min="1" max="1" width="25.6640625" style="2" customWidth="1"/>
    <col min="2" max="2" width="17.44140625" style="2" customWidth="1"/>
    <col min="3" max="3" width="17.33203125" style="2" customWidth="1"/>
    <col min="4" max="4" width="12.33203125" style="2" customWidth="1"/>
    <col min="5" max="5" width="30.88671875" style="2" bestFit="1" customWidth="1"/>
    <col min="6" max="16384" width="9.109375" style="2"/>
  </cols>
  <sheetData>
    <row r="1" spans="1:5" ht="21" x14ac:dyDescent="0.4">
      <c r="A1" s="257" t="s">
        <v>221</v>
      </c>
      <c r="B1" s="256"/>
      <c r="C1" s="256"/>
      <c r="D1" s="256"/>
      <c r="E1" s="1"/>
    </row>
    <row r="2" spans="1:5" ht="11.85" customHeight="1" x14ac:dyDescent="0.25"/>
    <row r="3" spans="1:5" x14ac:dyDescent="0.25">
      <c r="A3" s="255" t="s">
        <v>220</v>
      </c>
      <c r="B3" s="37">
        <v>16</v>
      </c>
      <c r="C3" s="253"/>
      <c r="D3" s="253"/>
      <c r="E3" s="253"/>
    </row>
    <row r="4" spans="1:5" x14ac:dyDescent="0.25">
      <c r="A4" s="254" t="s">
        <v>0</v>
      </c>
      <c r="B4" s="37">
        <v>0.01</v>
      </c>
      <c r="C4" s="253"/>
      <c r="D4" s="253"/>
      <c r="E4" s="253"/>
    </row>
    <row r="5" spans="1:5" x14ac:dyDescent="0.25">
      <c r="A5" s="255" t="s">
        <v>1</v>
      </c>
      <c r="B5" s="37">
        <v>5</v>
      </c>
      <c r="C5" s="253"/>
      <c r="D5" s="253"/>
      <c r="E5" s="253"/>
    </row>
    <row r="6" spans="1:5" x14ac:dyDescent="0.25">
      <c r="A6" s="255" t="s">
        <v>2</v>
      </c>
      <c r="B6" s="37">
        <v>16.05</v>
      </c>
      <c r="C6" s="253"/>
      <c r="D6" s="253"/>
      <c r="E6" s="253"/>
    </row>
    <row r="7" spans="1:5" x14ac:dyDescent="0.25">
      <c r="A7" s="255" t="s">
        <v>219</v>
      </c>
      <c r="B7" s="37">
        <v>0.03</v>
      </c>
      <c r="C7" s="253"/>
      <c r="D7" s="253"/>
      <c r="E7" s="253"/>
    </row>
    <row r="8" spans="1:5" x14ac:dyDescent="0.25">
      <c r="E8" s="3"/>
    </row>
    <row r="9" spans="1:5" x14ac:dyDescent="0.25">
      <c r="A9" s="252" t="s">
        <v>8</v>
      </c>
      <c r="B9" s="251">
        <f>(B6-B3)/(B7/SQRT(B5))</f>
        <v>3.7267799624997027</v>
      </c>
      <c r="E9" s="3"/>
    </row>
    <row r="10" spans="1:5" x14ac:dyDescent="0.25">
      <c r="E10" s="3"/>
    </row>
    <row r="11" spans="1:5" ht="13.8" thickBot="1" x14ac:dyDescent="0.3">
      <c r="E11" s="3"/>
    </row>
    <row r="12" spans="1:5" x14ac:dyDescent="0.25">
      <c r="A12" s="250" t="s">
        <v>218</v>
      </c>
      <c r="B12" s="249" t="s">
        <v>9</v>
      </c>
      <c r="C12" s="249" t="s">
        <v>10</v>
      </c>
      <c r="D12" s="248" t="s">
        <v>12</v>
      </c>
      <c r="E12" s="247" t="s">
        <v>5</v>
      </c>
    </row>
    <row r="13" spans="1:5" x14ac:dyDescent="0.25">
      <c r="A13" s="246"/>
      <c r="B13"/>
      <c r="C13"/>
      <c r="D13" s="245"/>
      <c r="E13" s="244"/>
    </row>
    <row r="14" spans="1:5" x14ac:dyDescent="0.25">
      <c r="A14" s="243" t="s">
        <v>4</v>
      </c>
      <c r="B14" s="242" t="s">
        <v>11</v>
      </c>
      <c r="C14" s="242">
        <f>IF($B$5&gt;29,NORMSINV(1-$B$4),TINV(2*$B$4,$B$5-1))</f>
        <v>3.7469473879791968</v>
      </c>
      <c r="D14" s="242">
        <f>IF(B5&lt;30,IF(B9&lt;0,1-TDIST(ABS(B9),B5-1,1),TDIST(ABS(B9),B5-1,1)),1-NORMSDIST(B9))</f>
        <v>1.0176939222851995E-2</v>
      </c>
      <c r="E14" s="241" t="str">
        <f>IF(D14&lt;$B$4,"Reject the null hypothesis","Do not reject the null hypothesis")</f>
        <v>Do not reject the null hypothesis</v>
      </c>
    </row>
    <row r="15" spans="1:5" ht="13.8" thickBot="1" x14ac:dyDescent="0.3">
      <c r="A15" s="240" t="str">
        <f>"HA:  m &gt; "&amp;B3</f>
        <v>HA:  m &gt; 16</v>
      </c>
      <c r="B15" s="239"/>
      <c r="C15" s="239"/>
      <c r="D15" s="259"/>
      <c r="E15" s="258"/>
    </row>
    <row r="17" spans="1:5" x14ac:dyDescent="0.25">
      <c r="A17" s="236" t="s">
        <v>236</v>
      </c>
      <c r="B17" s="236"/>
      <c r="C17" s="236"/>
      <c r="D17" s="236"/>
      <c r="E17" s="264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97DAC-E8F6-4B77-BB43-5539BE80FD7E}">
  <dimension ref="A1:E17"/>
  <sheetViews>
    <sheetView workbookViewId="0">
      <selection activeCell="B24" sqref="B24"/>
    </sheetView>
  </sheetViews>
  <sheetFormatPr defaultColWidth="9.109375" defaultRowHeight="13.2" x14ac:dyDescent="0.25"/>
  <cols>
    <col min="1" max="1" width="25.6640625" style="2" customWidth="1"/>
    <col min="2" max="2" width="17.44140625" style="2" customWidth="1"/>
    <col min="3" max="3" width="17.33203125" style="2" customWidth="1"/>
    <col min="4" max="4" width="12.33203125" style="2" customWidth="1"/>
    <col min="5" max="5" width="30.88671875" style="2" bestFit="1" customWidth="1"/>
    <col min="6" max="16384" width="9.109375" style="2"/>
  </cols>
  <sheetData>
    <row r="1" spans="1:5" ht="21" x14ac:dyDescent="0.4">
      <c r="A1" s="257" t="s">
        <v>221</v>
      </c>
      <c r="B1" s="256"/>
      <c r="C1" s="256"/>
      <c r="D1" s="256"/>
      <c r="E1" s="1"/>
    </row>
    <row r="2" spans="1:5" ht="11.85" customHeight="1" x14ac:dyDescent="0.25"/>
    <row r="3" spans="1:5" x14ac:dyDescent="0.25">
      <c r="A3" s="255" t="s">
        <v>220</v>
      </c>
      <c r="B3" s="37">
        <v>90</v>
      </c>
      <c r="C3" s="253"/>
      <c r="D3" s="253"/>
      <c r="E3" s="253"/>
    </row>
    <row r="4" spans="1:5" x14ac:dyDescent="0.25">
      <c r="A4" s="254" t="s">
        <v>0</v>
      </c>
      <c r="B4" s="37">
        <v>0.1</v>
      </c>
      <c r="C4" s="253"/>
      <c r="D4" s="253"/>
      <c r="E4" s="253"/>
    </row>
    <row r="5" spans="1:5" x14ac:dyDescent="0.25">
      <c r="A5" s="255" t="s">
        <v>1</v>
      </c>
      <c r="B5" s="37">
        <v>100</v>
      </c>
      <c r="C5" s="253"/>
      <c r="D5" s="253"/>
      <c r="E5" s="253"/>
    </row>
    <row r="6" spans="1:5" x14ac:dyDescent="0.25">
      <c r="A6" s="255" t="s">
        <v>2</v>
      </c>
      <c r="B6" s="37">
        <v>94</v>
      </c>
      <c r="C6" s="253"/>
      <c r="D6" s="253"/>
      <c r="E6" s="253"/>
    </row>
    <row r="7" spans="1:5" x14ac:dyDescent="0.25">
      <c r="A7" s="255" t="s">
        <v>219</v>
      </c>
      <c r="B7" s="37">
        <v>22</v>
      </c>
      <c r="C7" s="253"/>
      <c r="D7" s="253"/>
      <c r="E7" s="253"/>
    </row>
    <row r="8" spans="1:5" x14ac:dyDescent="0.25">
      <c r="E8" s="3"/>
    </row>
    <row r="9" spans="1:5" x14ac:dyDescent="0.25">
      <c r="A9" s="252" t="s">
        <v>8</v>
      </c>
      <c r="B9" s="251">
        <f>(B6-B3)/(B7/SQRT(B5))</f>
        <v>1.8181818181818181</v>
      </c>
      <c r="E9" s="3"/>
    </row>
    <row r="10" spans="1:5" x14ac:dyDescent="0.25">
      <c r="E10" s="3"/>
    </row>
    <row r="11" spans="1:5" ht="13.8" thickBot="1" x14ac:dyDescent="0.3">
      <c r="E11" s="3"/>
    </row>
    <row r="12" spans="1:5" x14ac:dyDescent="0.25">
      <c r="A12" s="250" t="s">
        <v>218</v>
      </c>
      <c r="B12" s="249" t="s">
        <v>9</v>
      </c>
      <c r="C12" s="249" t="s">
        <v>10</v>
      </c>
      <c r="D12" s="248" t="s">
        <v>12</v>
      </c>
      <c r="E12" s="247" t="s">
        <v>5</v>
      </c>
    </row>
    <row r="13" spans="1:5" x14ac:dyDescent="0.25">
      <c r="A13" s="246"/>
      <c r="B13"/>
      <c r="C13"/>
      <c r="D13" s="245"/>
      <c r="E13" s="244"/>
    </row>
    <row r="14" spans="1:5" x14ac:dyDescent="0.25">
      <c r="A14" s="243" t="s">
        <v>4</v>
      </c>
      <c r="B14" s="242" t="s">
        <v>11</v>
      </c>
      <c r="C14" s="242">
        <f>IF($B$5&gt;29,NORMSINV(1-$B$4),TINV(2*$B$4,$B$5-1))</f>
        <v>1.2815515655446006</v>
      </c>
      <c r="D14" s="242">
        <f>IF(B5&lt;30,IF(B9&lt;0,1-TDIST(ABS(B9),B5-1,1),TDIST(ABS(B9),B5-1,1)),1-NORMSDIST(B9))</f>
        <v>3.451817399720758E-2</v>
      </c>
      <c r="E14" s="241" t="str">
        <f>IF(D14&lt;$B$4,"Reject the null hypothesis","Do not reject the null hypothesis")</f>
        <v>Reject the null hypothesis</v>
      </c>
    </row>
    <row r="15" spans="1:5" ht="13.8" thickBot="1" x14ac:dyDescent="0.3">
      <c r="A15" s="240" t="str">
        <f>"HA:  m &gt; "&amp;B3</f>
        <v>HA:  m &gt; 90</v>
      </c>
      <c r="B15" s="239"/>
      <c r="C15" s="239"/>
      <c r="D15" s="259"/>
      <c r="E15" s="258"/>
    </row>
    <row r="17" spans="1:5" x14ac:dyDescent="0.25">
      <c r="A17" s="236" t="s">
        <v>237</v>
      </c>
      <c r="B17" s="236"/>
      <c r="C17" s="236"/>
      <c r="D17" s="236"/>
      <c r="E17" s="264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592D-4339-419E-9BC1-E34B433BC662}">
  <dimension ref="A1:E17"/>
  <sheetViews>
    <sheetView workbookViewId="0">
      <selection activeCell="A17" sqref="A17:XFD17"/>
    </sheetView>
  </sheetViews>
  <sheetFormatPr defaultColWidth="9.109375" defaultRowHeight="13.2" x14ac:dyDescent="0.25"/>
  <cols>
    <col min="1" max="1" width="25.6640625" style="2" customWidth="1"/>
    <col min="2" max="2" width="17.44140625" style="2" customWidth="1"/>
    <col min="3" max="3" width="17.33203125" style="2" customWidth="1"/>
    <col min="4" max="4" width="12.33203125" style="2" customWidth="1"/>
    <col min="5" max="5" width="30.88671875" style="2" bestFit="1" customWidth="1"/>
    <col min="6" max="16384" width="9.109375" style="2"/>
  </cols>
  <sheetData>
    <row r="1" spans="1:5" ht="21" x14ac:dyDescent="0.4">
      <c r="A1" s="257" t="s">
        <v>221</v>
      </c>
      <c r="B1" s="256"/>
      <c r="C1" s="256"/>
      <c r="D1" s="256"/>
      <c r="E1" s="1"/>
    </row>
    <row r="2" spans="1:5" ht="11.85" customHeight="1" x14ac:dyDescent="0.25"/>
    <row r="3" spans="1:5" x14ac:dyDescent="0.25">
      <c r="A3" s="255" t="s">
        <v>220</v>
      </c>
      <c r="B3" s="37">
        <v>45000</v>
      </c>
      <c r="C3" s="253"/>
      <c r="D3" s="253"/>
      <c r="E3" s="253"/>
    </row>
    <row r="4" spans="1:5" x14ac:dyDescent="0.25">
      <c r="A4" s="254" t="s">
        <v>0</v>
      </c>
      <c r="B4" s="37">
        <v>0.1</v>
      </c>
      <c r="C4" s="253"/>
      <c r="D4" s="253"/>
      <c r="E4" s="253"/>
    </row>
    <row r="5" spans="1:5" x14ac:dyDescent="0.25">
      <c r="A5" s="254" t="s">
        <v>1</v>
      </c>
      <c r="B5" s="37">
        <v>120</v>
      </c>
      <c r="C5" s="253"/>
      <c r="D5" s="253"/>
      <c r="E5" s="253"/>
    </row>
    <row r="6" spans="1:5" x14ac:dyDescent="0.25">
      <c r="A6" s="254" t="s">
        <v>2</v>
      </c>
      <c r="B6" s="37">
        <v>45500</v>
      </c>
      <c r="C6" s="253"/>
      <c r="D6" s="253"/>
      <c r="E6" s="253"/>
    </row>
    <row r="7" spans="1:5" x14ac:dyDescent="0.25">
      <c r="A7" s="254" t="s">
        <v>219</v>
      </c>
      <c r="B7" s="37">
        <v>3000</v>
      </c>
      <c r="C7" s="253"/>
      <c r="D7" s="253"/>
      <c r="E7" s="253"/>
    </row>
    <row r="8" spans="1:5" x14ac:dyDescent="0.25">
      <c r="E8" s="3"/>
    </row>
    <row r="9" spans="1:5" x14ac:dyDescent="0.25">
      <c r="A9" s="252" t="s">
        <v>8</v>
      </c>
      <c r="B9" s="251">
        <f>(B6-B3)/(B7/SQRT(B5))</f>
        <v>1.8257418583505536</v>
      </c>
      <c r="E9" s="3"/>
    </row>
    <row r="10" spans="1:5" x14ac:dyDescent="0.25">
      <c r="E10" s="3"/>
    </row>
    <row r="11" spans="1:5" ht="13.8" thickBot="1" x14ac:dyDescent="0.3">
      <c r="E11" s="3"/>
    </row>
    <row r="12" spans="1:5" x14ac:dyDescent="0.25">
      <c r="A12" s="250" t="s">
        <v>218</v>
      </c>
      <c r="B12" s="249" t="s">
        <v>9</v>
      </c>
      <c r="C12" s="249" t="s">
        <v>10</v>
      </c>
      <c r="D12" s="248" t="s">
        <v>12</v>
      </c>
      <c r="E12" s="247" t="s">
        <v>5</v>
      </c>
    </row>
    <row r="13" spans="1:5" x14ac:dyDescent="0.25">
      <c r="A13" s="246"/>
      <c r="B13"/>
      <c r="C13"/>
      <c r="D13" s="245"/>
      <c r="E13" s="244"/>
    </row>
    <row r="14" spans="1:5" x14ac:dyDescent="0.25">
      <c r="A14" s="243" t="s">
        <v>3</v>
      </c>
      <c r="B14" s="242">
        <f>IF($B$5&gt;29,NORMSINV($B$4/2),-TINV($B$4,$B$5-1))</f>
        <v>-1.6448536269514726</v>
      </c>
      <c r="C14" s="242">
        <f>IF($B$5&gt;29,NORMSINV(1-$B$4/2),TINV($B$4,$B$5-1))</f>
        <v>1.6448536269514715</v>
      </c>
      <c r="D14" s="242">
        <f>IF(B5&lt;30,TDIST(ABS(B9),B5-1,2),2*(1-NORMSDIST(ABS(B9))))</f>
        <v>6.7889154861829004E-2</v>
      </c>
      <c r="E14" s="241" t="str">
        <f>IF(D14&lt;$B$4,"Reject the null hypothesis","Do not reject the null hypothesis")</f>
        <v>Reject the null hypothesis</v>
      </c>
    </row>
    <row r="15" spans="1:5" ht="13.8" thickBot="1" x14ac:dyDescent="0.3">
      <c r="A15" s="240" t="str">
        <f>"HA:  m &lt;&gt; "&amp;B3</f>
        <v>HA:  m &lt;&gt; 45000</v>
      </c>
      <c r="B15" s="239"/>
      <c r="C15" s="239"/>
      <c r="D15" s="238"/>
      <c r="E15" s="237"/>
    </row>
    <row r="17" spans="1:5" x14ac:dyDescent="0.25">
      <c r="A17" s="236" t="s">
        <v>238</v>
      </c>
      <c r="B17" s="236"/>
      <c r="C17" s="236"/>
      <c r="D17" s="236"/>
      <c r="E17" s="236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55FC-0E95-48F4-A302-4612E8DC1D93}">
  <dimension ref="A1:E26"/>
  <sheetViews>
    <sheetView workbookViewId="0">
      <selection activeCell="F8" sqref="F8"/>
    </sheetView>
  </sheetViews>
  <sheetFormatPr defaultColWidth="9.109375" defaultRowHeight="13.2" x14ac:dyDescent="0.25"/>
  <cols>
    <col min="1" max="1" width="29.88671875" style="2" customWidth="1"/>
    <col min="2" max="2" width="20.88671875" style="2" customWidth="1"/>
    <col min="3" max="3" width="19.109375" style="2" customWidth="1"/>
    <col min="4" max="4" width="10.109375" style="2" customWidth="1"/>
    <col min="5" max="5" width="30.88671875" style="2" bestFit="1" customWidth="1"/>
    <col min="6" max="16384" width="9.109375" style="2"/>
  </cols>
  <sheetData>
    <row r="1" spans="1:5" s="25" customFormat="1" ht="21" x14ac:dyDescent="0.4">
      <c r="A1" s="257" t="s">
        <v>13</v>
      </c>
      <c r="B1" s="278"/>
      <c r="C1" s="278"/>
      <c r="D1" s="279"/>
      <c r="E1" s="279"/>
    </row>
    <row r="2" spans="1:5" ht="12.75" customHeight="1" x14ac:dyDescent="0.4">
      <c r="A2" s="26"/>
    </row>
    <row r="3" spans="1:5" ht="12.75" customHeight="1" x14ac:dyDescent="0.25">
      <c r="A3" s="254" t="s">
        <v>0</v>
      </c>
      <c r="B3" s="37">
        <v>0.05</v>
      </c>
    </row>
    <row r="4" spans="1:5" ht="12.75" customHeight="1" x14ac:dyDescent="0.25"/>
    <row r="5" spans="1:5" ht="12.75" customHeight="1" x14ac:dyDescent="0.25">
      <c r="B5" s="280"/>
    </row>
    <row r="6" spans="1:5" ht="12.75" customHeight="1" x14ac:dyDescent="0.25">
      <c r="B6" s="281" t="s">
        <v>239</v>
      </c>
      <c r="C6" s="281" t="s">
        <v>240</v>
      </c>
    </row>
    <row r="7" spans="1:5" ht="12.75" customHeight="1" x14ac:dyDescent="0.25">
      <c r="A7" s="254" t="s">
        <v>2</v>
      </c>
      <c r="B7" s="37">
        <v>7.6</v>
      </c>
      <c r="C7" s="37">
        <v>8.1</v>
      </c>
    </row>
    <row r="8" spans="1:5" ht="12.75" customHeight="1" x14ac:dyDescent="0.25">
      <c r="A8" s="254" t="s">
        <v>1</v>
      </c>
      <c r="B8" s="37">
        <v>40</v>
      </c>
      <c r="C8" s="37">
        <v>55</v>
      </c>
      <c r="D8" s="282"/>
      <c r="E8" s="282"/>
    </row>
    <row r="9" spans="1:5" ht="12.75" customHeight="1" x14ac:dyDescent="0.25">
      <c r="A9" s="254" t="s">
        <v>14</v>
      </c>
      <c r="B9" s="37">
        <v>2.2999999999999998</v>
      </c>
      <c r="C9" s="37">
        <v>2.9</v>
      </c>
    </row>
    <row r="10" spans="1:5" ht="12.75" customHeight="1" x14ac:dyDescent="0.25">
      <c r="A10" s="3"/>
      <c r="B10" s="282"/>
      <c r="C10" s="282"/>
    </row>
    <row r="11" spans="1:5" ht="12.75" customHeight="1" x14ac:dyDescent="0.25">
      <c r="A11" s="252" t="s">
        <v>15</v>
      </c>
      <c r="B11" s="251">
        <f>IF(AND(B8&gt;29,C8&gt;29),SQRT(B9*B9/B8+C9*C9/C8),SQRT(((B8-1)*B9*B9+(C8-1)*C9*C9)*(1/B8+1/C8)/(B8+C8-2)))</f>
        <v>0.53400289410179314</v>
      </c>
      <c r="C11" s="282"/>
    </row>
    <row r="12" spans="1:5" ht="12.75" customHeight="1" x14ac:dyDescent="0.25">
      <c r="A12" s="252" t="s">
        <v>8</v>
      </c>
      <c r="B12" s="251">
        <f>(B7-C7)/B11</f>
        <v>-0.93632451344858925</v>
      </c>
      <c r="C12" s="282"/>
    </row>
    <row r="13" spans="1:5" ht="12.75" customHeight="1" x14ac:dyDescent="0.25">
      <c r="A13" s="3"/>
      <c r="B13" s="282"/>
      <c r="C13" s="282"/>
    </row>
    <row r="14" spans="1:5" ht="12.75" customHeight="1" thickBot="1" x14ac:dyDescent="0.3">
      <c r="A14" s="253"/>
      <c r="C14" s="3"/>
    </row>
    <row r="15" spans="1:5" ht="12.75" customHeight="1" x14ac:dyDescent="0.25">
      <c r="A15" s="283"/>
      <c r="B15" s="249" t="s">
        <v>9</v>
      </c>
      <c r="C15" s="249" t="s">
        <v>10</v>
      </c>
      <c r="D15" s="248" t="s">
        <v>12</v>
      </c>
      <c r="E15" s="247" t="s">
        <v>5</v>
      </c>
    </row>
    <row r="16" spans="1:5" ht="12.75" customHeight="1" x14ac:dyDescent="0.25">
      <c r="A16" s="284"/>
      <c r="B16"/>
      <c r="C16"/>
      <c r="D16" s="245"/>
      <c r="E16" s="244"/>
    </row>
    <row r="17" spans="1:5" x14ac:dyDescent="0.25">
      <c r="A17" s="243" t="s">
        <v>222</v>
      </c>
      <c r="B17" s="242">
        <f>IF(AND($B$8&gt;29,$C$8&gt;29),NORMSINV($B$3),-TINV(2*$B$3,$B$8+$C$8-2))</f>
        <v>-1.6448536269514726</v>
      </c>
      <c r="C17" s="242" t="s">
        <v>11</v>
      </c>
      <c r="D17" s="242">
        <f>IF($B$12&lt;0,TDIST(ABS($B$12),$B$8+$C$8,1),1-TDIST(ABS($B$12),$B$8+$C$8,1))</f>
        <v>0.17574014683772615</v>
      </c>
      <c r="E17" s="241" t="str">
        <f>IF(D17&lt;$B$3,"Reject the null hypothesis","Do not reject the null hypothesis")</f>
        <v>Do not reject the null hypothesis</v>
      </c>
    </row>
    <row r="18" spans="1:5" ht="13.8" thickBot="1" x14ac:dyDescent="0.3">
      <c r="A18" s="287" t="s">
        <v>242</v>
      </c>
      <c r="B18" s="239"/>
      <c r="C18" s="239"/>
      <c r="D18" s="238"/>
      <c r="E18" s="237"/>
    </row>
    <row r="19" spans="1:5" x14ac:dyDescent="0.25">
      <c r="C19" s="253"/>
    </row>
    <row r="20" spans="1:5" x14ac:dyDescent="0.25">
      <c r="A20" s="288" t="s">
        <v>243</v>
      </c>
      <c r="B20" s="288"/>
      <c r="C20" s="288"/>
      <c r="D20" s="288"/>
      <c r="E20" s="288"/>
    </row>
    <row r="21" spans="1:5" x14ac:dyDescent="0.25">
      <c r="A21" s="289" t="s">
        <v>244</v>
      </c>
      <c r="B21" s="289"/>
      <c r="C21" s="289"/>
      <c r="D21" s="289"/>
      <c r="E21" s="289"/>
    </row>
    <row r="22" spans="1:5" x14ac:dyDescent="0.25">
      <c r="A22" s="290" t="s">
        <v>245</v>
      </c>
      <c r="B22" s="290"/>
      <c r="C22" s="290"/>
      <c r="D22" s="290"/>
      <c r="E22" s="290"/>
    </row>
    <row r="24" spans="1:5" x14ac:dyDescent="0.25">
      <c r="A24" s="236" t="s">
        <v>247</v>
      </c>
      <c r="B24" s="236"/>
      <c r="C24" s="236"/>
      <c r="D24" s="264"/>
      <c r="E24" s="264"/>
    </row>
    <row r="25" spans="1:5" ht="13.8" thickBot="1" x14ac:dyDescent="0.3"/>
    <row r="26" spans="1:5" ht="13.8" thickBot="1" x14ac:dyDescent="0.3">
      <c r="B26" s="291" t="s">
        <v>246</v>
      </c>
      <c r="C26" s="292"/>
      <c r="D26" s="293"/>
    </row>
  </sheetData>
  <sheetProtection formatCells="0" formatColumns="0" formatRows="0" insertColumns="0" insertRows="0" insertHyperlinks="0" deleteColumns="0" deleteRows="0" sort="0" autoFilter="0" pivotTables="0"/>
  <mergeCells count="3">
    <mergeCell ref="A20:E20"/>
    <mergeCell ref="A21:E21"/>
    <mergeCell ref="A22:E22"/>
  </mergeCells>
  <dataValidations count="2">
    <dataValidation type="decimal" allowBlank="1" showInputMessage="1" showErrorMessage="1" sqref="B3" xr:uid="{D21F182A-E9F1-4CFA-987B-448AE014F705}">
      <formula1>0</formula1>
      <formula2>1</formula2>
    </dataValidation>
    <dataValidation type="whole" operator="greaterThan" allowBlank="1" showInputMessage="1" showErrorMessage="1" sqref="B8:C8" xr:uid="{ECE1717A-D5A2-45A4-B7BB-C24154415FAE}">
      <formula1>0</formula1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8A0C-F360-442D-86C1-39FF88F0750D}">
  <dimension ref="A1:E26"/>
  <sheetViews>
    <sheetView workbookViewId="0">
      <selection activeCell="A27" sqref="A27"/>
    </sheetView>
  </sheetViews>
  <sheetFormatPr defaultColWidth="9.109375" defaultRowHeight="13.2" x14ac:dyDescent="0.25"/>
  <cols>
    <col min="1" max="1" width="29.88671875" style="2" customWidth="1"/>
    <col min="2" max="2" width="20.88671875" style="2" customWidth="1"/>
    <col min="3" max="3" width="19.109375" style="2" customWidth="1"/>
    <col min="4" max="4" width="10.109375" style="2" customWidth="1"/>
    <col min="5" max="5" width="33.6640625" style="2" customWidth="1"/>
    <col min="6" max="16384" width="9.109375" style="2"/>
  </cols>
  <sheetData>
    <row r="1" spans="1:5" s="25" customFormat="1" ht="21" x14ac:dyDescent="0.4">
      <c r="A1" s="257" t="s">
        <v>13</v>
      </c>
      <c r="B1" s="278"/>
      <c r="C1" s="278"/>
      <c r="D1" s="279"/>
      <c r="E1" s="279"/>
    </row>
    <row r="2" spans="1:5" ht="12.75" customHeight="1" x14ac:dyDescent="0.4">
      <c r="A2" s="26"/>
    </row>
    <row r="3" spans="1:5" ht="12.75" customHeight="1" x14ac:dyDescent="0.25">
      <c r="A3" s="254" t="s">
        <v>0</v>
      </c>
      <c r="B3" s="37">
        <v>0.05</v>
      </c>
    </row>
    <row r="4" spans="1:5" ht="12.75" customHeight="1" x14ac:dyDescent="0.25"/>
    <row r="5" spans="1:5" ht="12.75" customHeight="1" x14ac:dyDescent="0.25">
      <c r="B5" s="280"/>
    </row>
    <row r="6" spans="1:5" ht="12.75" customHeight="1" x14ac:dyDescent="0.25">
      <c r="B6" s="281" t="s">
        <v>249</v>
      </c>
      <c r="C6" s="281" t="s">
        <v>250</v>
      </c>
    </row>
    <row r="7" spans="1:5" ht="12.75" customHeight="1" x14ac:dyDescent="0.25">
      <c r="A7" s="254" t="s">
        <v>2</v>
      </c>
      <c r="B7" s="37">
        <v>370</v>
      </c>
      <c r="C7" s="37">
        <v>380</v>
      </c>
    </row>
    <row r="8" spans="1:5" ht="12.75" customHeight="1" x14ac:dyDescent="0.25">
      <c r="A8" s="254" t="s">
        <v>1</v>
      </c>
      <c r="B8" s="37">
        <v>35</v>
      </c>
      <c r="C8" s="37">
        <v>40</v>
      </c>
      <c r="D8" s="282"/>
      <c r="E8" s="282"/>
    </row>
    <row r="9" spans="1:5" ht="12.75" customHeight="1" x14ac:dyDescent="0.25">
      <c r="A9" s="254" t="s">
        <v>14</v>
      </c>
      <c r="B9" s="37">
        <v>30</v>
      </c>
      <c r="C9" s="37">
        <v>26</v>
      </c>
    </row>
    <row r="10" spans="1:5" ht="12.75" customHeight="1" x14ac:dyDescent="0.25">
      <c r="A10" s="3"/>
      <c r="B10" s="282"/>
      <c r="C10" s="282"/>
    </row>
    <row r="11" spans="1:5" ht="12.75" customHeight="1" x14ac:dyDescent="0.25">
      <c r="A11" s="252" t="s">
        <v>15</v>
      </c>
      <c r="B11" s="251">
        <f>IF(AND(B8&gt;29,C8&gt;29),SQRT(B9*B9/B8+C9*C9/C8),SQRT(((B8-1)*B9*B9+(C8-1)*C9*C9)*(1/B8+1/C8)/(B8+C8-2)))</f>
        <v>6.527961834622328</v>
      </c>
      <c r="C11" s="282"/>
    </row>
    <row r="12" spans="1:5" ht="12.75" customHeight="1" x14ac:dyDescent="0.25">
      <c r="A12" s="252" t="s">
        <v>8</v>
      </c>
      <c r="B12" s="251">
        <f>(B7-C7)/B11</f>
        <v>-1.5318717010511667</v>
      </c>
      <c r="C12" s="282"/>
    </row>
    <row r="13" spans="1:5" ht="12.75" customHeight="1" x14ac:dyDescent="0.25">
      <c r="A13" s="3"/>
      <c r="B13" s="282"/>
      <c r="C13" s="282"/>
    </row>
    <row r="14" spans="1:5" ht="12.75" customHeight="1" thickBot="1" x14ac:dyDescent="0.3">
      <c r="A14" s="253"/>
      <c r="C14" s="3"/>
    </row>
    <row r="15" spans="1:5" ht="12.75" customHeight="1" x14ac:dyDescent="0.25">
      <c r="A15" s="283"/>
      <c r="B15" s="249" t="s">
        <v>9</v>
      </c>
      <c r="C15" s="249" t="s">
        <v>10</v>
      </c>
      <c r="D15" s="248" t="s">
        <v>12</v>
      </c>
      <c r="E15" s="247" t="s">
        <v>5</v>
      </c>
    </row>
    <row r="16" spans="1:5" ht="12.75" customHeight="1" x14ac:dyDescent="0.25">
      <c r="A16" s="284"/>
      <c r="B16"/>
      <c r="C16"/>
      <c r="D16" s="245"/>
      <c r="E16" s="244"/>
    </row>
    <row r="17" spans="1:5" ht="12.75" customHeight="1" x14ac:dyDescent="0.25">
      <c r="A17" s="243" t="s">
        <v>3</v>
      </c>
      <c r="B17" s="242">
        <f>IF(AND($B$8&gt;29,$C$8&gt;29),NORMSINV($B$3/2),-TINV($B$3,$B$8+$C$8-2))</f>
        <v>-1.9599639845400538</v>
      </c>
      <c r="C17" s="242">
        <f>IF(AND($B$8&gt;29,$C$8&gt;29),NORMSINV(1-$B$3/2),TINV($B$3,$B$8+$C$8-2))</f>
        <v>1.9599639845400536</v>
      </c>
      <c r="D17" s="242">
        <f>TDIST(ABS(B12),B8+C8-2,2)</f>
        <v>0.12987653930158943</v>
      </c>
      <c r="E17" s="241" t="str">
        <f>IF(D17&lt;$B$3,"Reject the null hypothesis","Do not reject the null hypothesis")</f>
        <v>Do not reject the null hypothesis</v>
      </c>
    </row>
    <row r="18" spans="1:5" ht="12.75" customHeight="1" thickBot="1" x14ac:dyDescent="0.3">
      <c r="A18" s="287" t="s">
        <v>16</v>
      </c>
      <c r="B18" s="239"/>
      <c r="C18" s="239"/>
      <c r="D18" s="238"/>
      <c r="E18" s="237"/>
    </row>
    <row r="19" spans="1:5" x14ac:dyDescent="0.25">
      <c r="C19" s="253"/>
    </row>
    <row r="20" spans="1:5" x14ac:dyDescent="0.25">
      <c r="A20" s="288" t="s">
        <v>243</v>
      </c>
      <c r="B20" s="288"/>
      <c r="C20" s="288"/>
      <c r="D20" s="288"/>
      <c r="E20" s="288"/>
    </row>
    <row r="21" spans="1:5" x14ac:dyDescent="0.25">
      <c r="A21" s="289" t="s">
        <v>244</v>
      </c>
      <c r="B21" s="289"/>
      <c r="C21" s="289"/>
      <c r="D21" s="289"/>
      <c r="E21" s="289"/>
    </row>
    <row r="22" spans="1:5" x14ac:dyDescent="0.25">
      <c r="A22" s="290" t="s">
        <v>245</v>
      </c>
      <c r="B22" s="290"/>
      <c r="C22" s="290"/>
      <c r="D22" s="290"/>
      <c r="E22" s="290"/>
    </row>
    <row r="24" spans="1:5" x14ac:dyDescent="0.25">
      <c r="A24" s="236" t="s">
        <v>251</v>
      </c>
      <c r="B24" s="236"/>
      <c r="C24" s="236"/>
      <c r="D24" s="264"/>
      <c r="E24" s="264"/>
    </row>
    <row r="25" spans="1:5" ht="13.8" thickBot="1" x14ac:dyDescent="0.3"/>
    <row r="26" spans="1:5" ht="13.8" thickBot="1" x14ac:dyDescent="0.3">
      <c r="B26" s="291" t="s">
        <v>246</v>
      </c>
      <c r="C26" s="292"/>
      <c r="D26" s="293"/>
    </row>
  </sheetData>
  <sheetProtection formatCells="0" formatColumns="0" formatRows="0" insertColumns="0" insertRows="0" insertHyperlinks="0" deleteColumns="0" deleteRows="0" sort="0" autoFilter="0" pivotTables="0"/>
  <mergeCells count="3">
    <mergeCell ref="A20:E20"/>
    <mergeCell ref="A21:E21"/>
    <mergeCell ref="A22:E22"/>
  </mergeCells>
  <dataValidations count="2">
    <dataValidation type="decimal" allowBlank="1" showInputMessage="1" showErrorMessage="1" sqref="B3" xr:uid="{2854D718-1751-4279-8EAF-8F2536CC4113}">
      <formula1>0</formula1>
      <formula2>1</formula2>
    </dataValidation>
    <dataValidation type="whole" operator="greaterThan" allowBlank="1" showInputMessage="1" showErrorMessage="1" sqref="B8:C8" xr:uid="{7C1CD5C5-CE2C-43FA-8DFC-A908D85F744F}">
      <formula1>0</formula1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29F4-C47E-4D08-B458-81EC0C6C29DE}">
  <dimension ref="A1:E26"/>
  <sheetViews>
    <sheetView workbookViewId="0">
      <selection activeCell="A24" sqref="A24"/>
    </sheetView>
  </sheetViews>
  <sheetFormatPr defaultColWidth="9.109375" defaultRowHeight="13.2" x14ac:dyDescent="0.25"/>
  <cols>
    <col min="1" max="1" width="29.88671875" style="2" customWidth="1"/>
    <col min="2" max="2" width="20.88671875" style="2" customWidth="1"/>
    <col min="3" max="3" width="19.109375" style="2" customWidth="1"/>
    <col min="4" max="4" width="10.109375" style="2" customWidth="1"/>
    <col min="5" max="5" width="33.6640625" style="2" customWidth="1"/>
    <col min="6" max="16384" width="9.109375" style="2"/>
  </cols>
  <sheetData>
    <row r="1" spans="1:5" s="25" customFormat="1" ht="21" x14ac:dyDescent="0.4">
      <c r="A1" s="257" t="s">
        <v>13</v>
      </c>
      <c r="B1" s="278"/>
      <c r="C1" s="278"/>
      <c r="D1" s="279"/>
      <c r="E1" s="279"/>
    </row>
    <row r="2" spans="1:5" ht="12.75" customHeight="1" x14ac:dyDescent="0.4">
      <c r="A2" s="26"/>
    </row>
    <row r="3" spans="1:5" ht="12.75" customHeight="1" x14ac:dyDescent="0.25">
      <c r="A3" s="254" t="s">
        <v>0</v>
      </c>
      <c r="B3" s="37">
        <v>0.01</v>
      </c>
    </row>
    <row r="4" spans="1:5" ht="12.75" customHeight="1" x14ac:dyDescent="0.25"/>
    <row r="5" spans="1:5" ht="12.75" customHeight="1" x14ac:dyDescent="0.25">
      <c r="B5" s="280"/>
    </row>
    <row r="6" spans="1:5" ht="12.75" customHeight="1" x14ac:dyDescent="0.25">
      <c r="B6" s="281" t="s">
        <v>252</v>
      </c>
      <c r="C6" s="281" t="s">
        <v>253</v>
      </c>
    </row>
    <row r="7" spans="1:5" ht="12.75" customHeight="1" x14ac:dyDescent="0.25">
      <c r="A7" s="254" t="s">
        <v>2</v>
      </c>
      <c r="B7" s="37">
        <v>31.4</v>
      </c>
      <c r="C7" s="37">
        <v>34.9</v>
      </c>
    </row>
    <row r="8" spans="1:5" ht="12.75" customHeight="1" x14ac:dyDescent="0.25">
      <c r="A8" s="254" t="s">
        <v>1</v>
      </c>
      <c r="B8" s="37">
        <v>32</v>
      </c>
      <c r="C8" s="37">
        <v>49</v>
      </c>
      <c r="D8" s="282"/>
      <c r="E8" s="282"/>
    </row>
    <row r="9" spans="1:5" ht="12.75" customHeight="1" x14ac:dyDescent="0.25">
      <c r="A9" s="254" t="s">
        <v>14</v>
      </c>
      <c r="B9" s="37">
        <v>5.0999999999999996</v>
      </c>
      <c r="C9" s="37">
        <v>6.7</v>
      </c>
    </row>
    <row r="10" spans="1:5" ht="12.75" customHeight="1" x14ac:dyDescent="0.25">
      <c r="A10" s="3"/>
      <c r="B10" s="282"/>
      <c r="C10" s="282"/>
    </row>
    <row r="11" spans="1:5" ht="12.75" customHeight="1" x14ac:dyDescent="0.25">
      <c r="A11" s="252" t="s">
        <v>15</v>
      </c>
      <c r="B11" s="251">
        <f>IF(AND(B8&gt;29,C8&gt;29),SQRT(B9*B9/B8+C9*C9/C8),SQRT(((B8-1)*B9*B9+(C8-1)*C9*C9)*(1/B8+1/C8)/(B8+C8-2)))</f>
        <v>1.314889709815843</v>
      </c>
      <c r="C11" s="282"/>
    </row>
    <row r="12" spans="1:5" ht="12.75" customHeight="1" x14ac:dyDescent="0.25">
      <c r="A12" s="252" t="s">
        <v>8</v>
      </c>
      <c r="B12" s="251">
        <f>(B7-C7)/B11</f>
        <v>-2.6618202073314521</v>
      </c>
      <c r="C12" s="282"/>
    </row>
    <row r="13" spans="1:5" ht="12.75" customHeight="1" x14ac:dyDescent="0.25">
      <c r="A13" s="3"/>
      <c r="B13" s="282"/>
      <c r="C13" s="282"/>
    </row>
    <row r="14" spans="1:5" ht="12.75" customHeight="1" thickBot="1" x14ac:dyDescent="0.3">
      <c r="A14" s="253"/>
      <c r="C14" s="3"/>
    </row>
    <row r="15" spans="1:5" ht="12.75" customHeight="1" x14ac:dyDescent="0.25">
      <c r="A15" s="283"/>
      <c r="B15" s="249" t="s">
        <v>9</v>
      </c>
      <c r="C15" s="249" t="s">
        <v>10</v>
      </c>
      <c r="D15" s="248" t="s">
        <v>12</v>
      </c>
      <c r="E15" s="247" t="s">
        <v>5</v>
      </c>
    </row>
    <row r="16" spans="1:5" ht="12.75" customHeight="1" x14ac:dyDescent="0.25">
      <c r="A16" s="284"/>
      <c r="B16"/>
      <c r="C16"/>
      <c r="D16" s="245"/>
      <c r="E16" s="244"/>
    </row>
    <row r="17" spans="1:5" ht="12.75" customHeight="1" x14ac:dyDescent="0.25">
      <c r="A17" s="243" t="s">
        <v>3</v>
      </c>
      <c r="B17" s="242">
        <f>IF(AND($B$8&gt;29,$C$8&gt;29),NORMSINV($B$3/2),-TINV($B$3,$B$8+$C$8-2))</f>
        <v>-2.5758293035488999</v>
      </c>
      <c r="C17" s="242">
        <f>IF(AND($B$8&gt;29,$C$8&gt;29),NORMSINV(1-$B$3/2),TINV($B$3,$B$8+$C$8-2))</f>
        <v>2.5758293035488999</v>
      </c>
      <c r="D17" s="242">
        <f>TDIST(ABS(B12),B8+C8-2,2)</f>
        <v>9.4123566085384264E-3</v>
      </c>
      <c r="E17" s="241" t="str">
        <f>IF(D17&lt;$B$3,"Reject the null hypothesis","Do not reject the null hypothesis")</f>
        <v>Reject the null hypothesis</v>
      </c>
    </row>
    <row r="18" spans="1:5" ht="12.75" customHeight="1" thickBot="1" x14ac:dyDescent="0.3">
      <c r="A18" s="287" t="s">
        <v>16</v>
      </c>
      <c r="B18" s="239"/>
      <c r="C18" s="239"/>
      <c r="D18" s="238"/>
      <c r="E18" s="237"/>
    </row>
    <row r="19" spans="1:5" x14ac:dyDescent="0.25">
      <c r="C19" s="253"/>
    </row>
    <row r="20" spans="1:5" x14ac:dyDescent="0.25">
      <c r="A20" s="288" t="s">
        <v>243</v>
      </c>
      <c r="B20" s="288"/>
      <c r="C20" s="288"/>
      <c r="D20" s="288"/>
      <c r="E20" s="288"/>
    </row>
    <row r="21" spans="1:5" x14ac:dyDescent="0.25">
      <c r="A21" s="289" t="s">
        <v>244</v>
      </c>
      <c r="B21" s="289"/>
      <c r="C21" s="289"/>
      <c r="D21" s="289"/>
      <c r="E21" s="289"/>
    </row>
    <row r="22" spans="1:5" x14ac:dyDescent="0.25">
      <c r="A22" s="290" t="s">
        <v>245</v>
      </c>
      <c r="B22" s="290"/>
      <c r="C22" s="290"/>
      <c r="D22" s="290"/>
      <c r="E22" s="290"/>
    </row>
    <row r="24" spans="1:5" x14ac:dyDescent="0.25">
      <c r="A24" s="236" t="s">
        <v>254</v>
      </c>
      <c r="B24" s="236"/>
      <c r="C24" s="236"/>
      <c r="D24" s="236"/>
      <c r="E24" s="236"/>
    </row>
    <row r="25" spans="1:5" ht="13.8" thickBot="1" x14ac:dyDescent="0.3"/>
    <row r="26" spans="1:5" ht="13.8" thickBot="1" x14ac:dyDescent="0.3">
      <c r="B26" s="291" t="s">
        <v>246</v>
      </c>
      <c r="C26" s="292"/>
      <c r="D26" s="293"/>
    </row>
  </sheetData>
  <sheetProtection formatCells="0" formatColumns="0" formatRows="0" insertColumns="0" insertRows="0" insertHyperlinks="0" deleteColumns="0" deleteRows="0" sort="0" autoFilter="0" pivotTables="0"/>
  <mergeCells count="3">
    <mergeCell ref="A20:E20"/>
    <mergeCell ref="A21:E21"/>
    <mergeCell ref="A22:E22"/>
  </mergeCells>
  <dataValidations count="2">
    <dataValidation type="whole" operator="greaterThan" allowBlank="1" showInputMessage="1" showErrorMessage="1" sqref="B8:C8" xr:uid="{3947EDED-1D7A-4B88-A272-383439BAC793}">
      <formula1>0</formula1>
    </dataValidation>
    <dataValidation type="decimal" allowBlank="1" showInputMessage="1" showErrorMessage="1" sqref="B3" xr:uid="{768CA92B-E5C2-43D3-A701-294A7BCEE079}">
      <formula1>0</formula1>
      <formula2>1</formula2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BE6A9-1EB9-407C-A076-7DF07E738A6C}">
  <dimension ref="A1:G26"/>
  <sheetViews>
    <sheetView workbookViewId="0">
      <selection activeCell="A27" sqref="A27"/>
    </sheetView>
  </sheetViews>
  <sheetFormatPr defaultColWidth="9.109375" defaultRowHeight="13.2" x14ac:dyDescent="0.25"/>
  <cols>
    <col min="1" max="1" width="29.88671875" style="2" customWidth="1"/>
    <col min="2" max="2" width="20.88671875" style="2" customWidth="1"/>
    <col min="3" max="3" width="19.109375" style="2" customWidth="1"/>
    <col min="4" max="4" width="10.109375" style="2" customWidth="1"/>
    <col min="5" max="5" width="30.88671875" style="2" bestFit="1" customWidth="1"/>
    <col min="6" max="16384" width="9.109375" style="2"/>
  </cols>
  <sheetData>
    <row r="1" spans="1:7" s="25" customFormat="1" ht="21" x14ac:dyDescent="0.4">
      <c r="A1" s="257" t="s">
        <v>13</v>
      </c>
      <c r="B1" s="278"/>
      <c r="C1" s="278"/>
      <c r="D1" s="279"/>
      <c r="E1" s="279"/>
    </row>
    <row r="2" spans="1:7" ht="12.75" customHeight="1" x14ac:dyDescent="0.4">
      <c r="A2" s="26"/>
    </row>
    <row r="3" spans="1:7" ht="12.75" customHeight="1" x14ac:dyDescent="0.25">
      <c r="A3" s="254" t="s">
        <v>0</v>
      </c>
      <c r="B3" s="37">
        <v>0.02</v>
      </c>
    </row>
    <row r="4" spans="1:7" ht="12.75" customHeight="1" x14ac:dyDescent="0.25"/>
    <row r="5" spans="1:7" ht="12.75" customHeight="1" x14ac:dyDescent="0.25">
      <c r="B5" s="280"/>
    </row>
    <row r="6" spans="1:7" ht="12.75" customHeight="1" x14ac:dyDescent="0.25">
      <c r="B6" s="281" t="s">
        <v>255</v>
      </c>
      <c r="C6" s="281" t="s">
        <v>256</v>
      </c>
    </row>
    <row r="7" spans="1:7" ht="12.75" customHeight="1" x14ac:dyDescent="0.25">
      <c r="A7" s="254" t="s">
        <v>2</v>
      </c>
      <c r="B7" s="37">
        <v>20.75</v>
      </c>
      <c r="C7" s="37">
        <v>19.8</v>
      </c>
    </row>
    <row r="8" spans="1:7" ht="12.75" customHeight="1" x14ac:dyDescent="0.25">
      <c r="A8" s="254" t="s">
        <v>1</v>
      </c>
      <c r="B8" s="37">
        <v>40</v>
      </c>
      <c r="C8" s="37">
        <v>45</v>
      </c>
      <c r="D8" s="282"/>
      <c r="E8" s="282"/>
    </row>
    <row r="9" spans="1:7" ht="12.75" customHeight="1" x14ac:dyDescent="0.25">
      <c r="A9" s="254" t="s">
        <v>14</v>
      </c>
      <c r="B9" s="37">
        <v>2.25</v>
      </c>
      <c r="C9" s="37">
        <v>1.9</v>
      </c>
    </row>
    <row r="10" spans="1:7" ht="12.75" customHeight="1" x14ac:dyDescent="0.25">
      <c r="A10" s="3"/>
      <c r="B10" s="282"/>
      <c r="C10" s="282"/>
      <c r="G10" s="2" t="s">
        <v>248</v>
      </c>
    </row>
    <row r="11" spans="1:7" ht="12.75" customHeight="1" x14ac:dyDescent="0.25">
      <c r="A11" s="252" t="s">
        <v>15</v>
      </c>
      <c r="B11" s="251">
        <f>IF(AND(B8&gt;29,C8&gt;29),SQRT(B9*B9/B8+C9*C9/C8),SQRT(((B8-1)*B9*B9+(C8-1)*C9*C9)*(1/B8+1/C8)/(B8+C8-2)))</f>
        <v>0.45473588182836661</v>
      </c>
      <c r="C11" s="282"/>
    </row>
    <row r="12" spans="1:7" ht="12.75" customHeight="1" x14ac:dyDescent="0.25">
      <c r="A12" s="252" t="s">
        <v>8</v>
      </c>
      <c r="B12" s="251">
        <f>(B7-C7)/B11</f>
        <v>2.0891247820170102</v>
      </c>
      <c r="C12" s="282"/>
    </row>
    <row r="13" spans="1:7" ht="12.75" customHeight="1" x14ac:dyDescent="0.25">
      <c r="A13" s="3"/>
      <c r="B13" s="282"/>
      <c r="C13" s="282"/>
    </row>
    <row r="14" spans="1:7" ht="12.75" customHeight="1" thickBot="1" x14ac:dyDescent="0.3">
      <c r="A14" s="253"/>
      <c r="C14" s="3"/>
    </row>
    <row r="15" spans="1:7" ht="12.75" customHeight="1" x14ac:dyDescent="0.25">
      <c r="A15" s="283"/>
      <c r="B15" s="249" t="s">
        <v>9</v>
      </c>
      <c r="C15" s="249" t="s">
        <v>10</v>
      </c>
      <c r="D15" s="248" t="s">
        <v>12</v>
      </c>
      <c r="E15" s="247" t="s">
        <v>5</v>
      </c>
    </row>
    <row r="16" spans="1:7" ht="12.75" customHeight="1" x14ac:dyDescent="0.25">
      <c r="A16" s="284"/>
      <c r="B16"/>
      <c r="C16"/>
      <c r="D16" s="245"/>
      <c r="E16" s="244"/>
    </row>
    <row r="17" spans="1:5" x14ac:dyDescent="0.25">
      <c r="A17" s="243" t="s">
        <v>4</v>
      </c>
      <c r="B17" s="242" t="s">
        <v>11</v>
      </c>
      <c r="C17" s="242">
        <f>IF(AND($B$8&gt;29,$C$8&gt;29),NORMSINV(1-$B$3),TINV(2*$B$3,$B$8+$C$8-2))</f>
        <v>2.0537489106318221</v>
      </c>
      <c r="D17" s="242">
        <f>IF($B$12&lt;0,1-TDIST(ABS($B$12),$B$8+$C$8,1),TDIST(ABS($B$12),$B$8+$C$8,1))</f>
        <v>1.9843340124931982E-2</v>
      </c>
      <c r="E17" s="241" t="str">
        <f>IF(D17&lt;$B$3,"Reject the null hypothesis","Do not reject the null hypothesis")</f>
        <v>Reject the null hypothesis</v>
      </c>
    </row>
    <row r="18" spans="1:5" ht="13.8" thickBot="1" x14ac:dyDescent="0.3">
      <c r="A18" s="287" t="s">
        <v>241</v>
      </c>
      <c r="B18" s="239"/>
      <c r="C18" s="239"/>
      <c r="D18" s="238"/>
      <c r="E18" s="237"/>
    </row>
    <row r="19" spans="1:5" x14ac:dyDescent="0.25">
      <c r="C19" s="253"/>
    </row>
    <row r="20" spans="1:5" x14ac:dyDescent="0.25">
      <c r="A20" s="288" t="s">
        <v>243</v>
      </c>
      <c r="B20" s="288"/>
      <c r="C20" s="288"/>
      <c r="D20" s="288"/>
      <c r="E20" s="288"/>
    </row>
    <row r="21" spans="1:5" x14ac:dyDescent="0.25">
      <c r="A21" s="289" t="s">
        <v>244</v>
      </c>
      <c r="B21" s="289"/>
      <c r="C21" s="289"/>
      <c r="D21" s="289"/>
      <c r="E21" s="289"/>
    </row>
    <row r="22" spans="1:5" x14ac:dyDescent="0.25">
      <c r="A22" s="290" t="s">
        <v>245</v>
      </c>
      <c r="B22" s="290"/>
      <c r="C22" s="290"/>
      <c r="D22" s="290"/>
      <c r="E22" s="290"/>
    </row>
    <row r="24" spans="1:5" x14ac:dyDescent="0.25">
      <c r="A24" s="236" t="s">
        <v>257</v>
      </c>
      <c r="B24" s="236"/>
      <c r="C24" s="236"/>
      <c r="D24" s="264"/>
      <c r="E24" s="264"/>
    </row>
    <row r="25" spans="1:5" ht="13.8" thickBot="1" x14ac:dyDescent="0.3"/>
    <row r="26" spans="1:5" ht="13.8" thickBot="1" x14ac:dyDescent="0.3">
      <c r="B26" s="291" t="s">
        <v>246</v>
      </c>
      <c r="C26" s="292"/>
      <c r="D26" s="293"/>
    </row>
  </sheetData>
  <sheetProtection formatCells="0" formatColumns="0" formatRows="0" insertColumns="0" insertRows="0" insertHyperlinks="0" deleteColumns="0" deleteRows="0" sort="0" autoFilter="0" pivotTables="0"/>
  <mergeCells count="3">
    <mergeCell ref="A20:E20"/>
    <mergeCell ref="A21:E21"/>
    <mergeCell ref="A22:E22"/>
  </mergeCells>
  <dataValidations count="2">
    <dataValidation type="whole" operator="greaterThan" allowBlank="1" showInputMessage="1" showErrorMessage="1" sqref="B8:C8" xr:uid="{4B1C7D64-F850-4692-877E-9E6D2C3E3770}">
      <formula1>0</formula1>
    </dataValidation>
    <dataValidation type="decimal" allowBlank="1" showInputMessage="1" showErrorMessage="1" sqref="B3" xr:uid="{F3A39F30-807A-43B0-978A-1D874396DD8D}">
      <formula1>0</formula1>
      <formula2>1</formula2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578B7-4C8F-4E89-AED4-3DA2DB5C98E6}">
  <dimension ref="A1:F27"/>
  <sheetViews>
    <sheetView workbookViewId="0">
      <selection activeCell="C28" sqref="C28"/>
    </sheetView>
  </sheetViews>
  <sheetFormatPr defaultColWidth="9.109375" defaultRowHeight="13.2" x14ac:dyDescent="0.25"/>
  <cols>
    <col min="1" max="1" width="26.109375" style="2" customWidth="1"/>
    <col min="2" max="2" width="21.109375" style="2" customWidth="1"/>
    <col min="3" max="3" width="23.88671875" style="2" customWidth="1"/>
    <col min="4" max="4" width="8.5546875" style="2" bestFit="1" customWidth="1"/>
    <col min="5" max="5" width="30.88671875" style="2" bestFit="1" customWidth="1"/>
    <col min="6" max="6" width="10.6640625" style="2" customWidth="1"/>
    <col min="7" max="16384" width="9.109375" style="2"/>
  </cols>
  <sheetData>
    <row r="1" spans="1:6" ht="21" x14ac:dyDescent="0.4">
      <c r="A1" s="257" t="s">
        <v>25</v>
      </c>
      <c r="B1" s="256"/>
      <c r="C1" s="256"/>
      <c r="D1" s="261"/>
      <c r="F1" s="1"/>
    </row>
    <row r="2" spans="1:6" ht="12.75" customHeight="1" x14ac:dyDescent="0.25"/>
    <row r="3" spans="1:6" ht="12.75" customHeight="1" x14ac:dyDescent="0.25">
      <c r="A3" s="254" t="s">
        <v>0</v>
      </c>
      <c r="B3" s="37">
        <v>0.05</v>
      </c>
    </row>
    <row r="4" spans="1:6" ht="12.75" customHeight="1" x14ac:dyDescent="0.25"/>
    <row r="5" spans="1:6" ht="12.75" customHeight="1" x14ac:dyDescent="0.25">
      <c r="B5" s="294"/>
    </row>
    <row r="6" spans="1:6" ht="12.75" customHeight="1" x14ac:dyDescent="0.25">
      <c r="B6" s="281" t="s">
        <v>260</v>
      </c>
      <c r="C6" s="281" t="s">
        <v>261</v>
      </c>
      <c r="F6" s="253"/>
    </row>
    <row r="7" spans="1:6" ht="12.75" customHeight="1" x14ac:dyDescent="0.25">
      <c r="A7" s="254" t="s">
        <v>6</v>
      </c>
      <c r="B7" s="37">
        <v>24</v>
      </c>
      <c r="C7" s="37">
        <v>40</v>
      </c>
      <c r="F7" s="253"/>
    </row>
    <row r="8" spans="1:6" ht="12.75" customHeight="1" x14ac:dyDescent="0.25">
      <c r="A8" s="254" t="s">
        <v>1</v>
      </c>
      <c r="B8" s="37">
        <v>400</v>
      </c>
      <c r="C8" s="37">
        <v>400</v>
      </c>
      <c r="D8" s="282"/>
      <c r="E8" s="282"/>
    </row>
    <row r="9" spans="1:6" ht="12.75" customHeight="1" x14ac:dyDescent="0.25"/>
    <row r="10" spans="1:6" ht="12.75" customHeight="1" x14ac:dyDescent="0.25">
      <c r="A10" s="252" t="s">
        <v>27</v>
      </c>
      <c r="B10" s="251">
        <f>B7/B8</f>
        <v>0.06</v>
      </c>
      <c r="C10" s="251">
        <f>C7/C8</f>
        <v>0.1</v>
      </c>
    </row>
    <row r="11" spans="1:6" ht="12.75" customHeight="1" x14ac:dyDescent="0.25">
      <c r="A11" s="253"/>
      <c r="C11" s="3"/>
    </row>
    <row r="12" spans="1:6" ht="12.75" hidden="1" customHeight="1" x14ac:dyDescent="0.25">
      <c r="A12" s="3" t="s">
        <v>26</v>
      </c>
      <c r="B12" s="280">
        <f>(B7+C7)/(B8+C8)</f>
        <v>0.08</v>
      </c>
      <c r="C12" s="3"/>
    </row>
    <row r="13" spans="1:6" ht="12.75" customHeight="1" x14ac:dyDescent="0.25">
      <c r="A13" s="252" t="s">
        <v>7</v>
      </c>
      <c r="B13" s="251">
        <f>(B10-C10)/SQRT(B12*(1-B12)*(1/B8+1/C8))</f>
        <v>-2.085144140570748</v>
      </c>
      <c r="C13" s="3"/>
    </row>
    <row r="14" spans="1:6" ht="12.75" customHeight="1" x14ac:dyDescent="0.25">
      <c r="A14" s="253"/>
      <c r="C14" s="3"/>
    </row>
    <row r="15" spans="1:6" ht="12.75" customHeight="1" thickBot="1" x14ac:dyDescent="0.3"/>
    <row r="16" spans="1:6" ht="12.75" customHeight="1" x14ac:dyDescent="0.25">
      <c r="A16" s="295"/>
      <c r="B16" s="249" t="s">
        <v>9</v>
      </c>
      <c r="C16" s="249" t="s">
        <v>10</v>
      </c>
      <c r="D16" s="248" t="s">
        <v>12</v>
      </c>
      <c r="E16" s="247" t="s">
        <v>5</v>
      </c>
    </row>
    <row r="17" spans="1:5" ht="12.75" customHeight="1" x14ac:dyDescent="0.25">
      <c r="A17" s="246"/>
      <c r="B17"/>
      <c r="C17"/>
      <c r="D17" s="245"/>
      <c r="E17" s="244"/>
    </row>
    <row r="18" spans="1:5" ht="12.75" customHeight="1" x14ac:dyDescent="0.25">
      <c r="A18" s="243" t="s">
        <v>3</v>
      </c>
      <c r="B18" s="242">
        <f>NORMSINV($B$3/2)</f>
        <v>-1.9599639845400538</v>
      </c>
      <c r="C18" s="242">
        <f>NORMSINV(1-$B$3/2)</f>
        <v>1.9599639845400536</v>
      </c>
      <c r="D18" s="242">
        <f>2*(1-NORMSDIST(ABS(B13)))</f>
        <v>3.7056218564119003E-2</v>
      </c>
      <c r="E18" s="241" t="str">
        <f>IF(D18&lt;$B$3,"Reject the null hypothesis","Do not reject the null hypothesis")</f>
        <v>Reject the null hypothesis</v>
      </c>
    </row>
    <row r="19" spans="1:5" ht="13.8" thickBot="1" x14ac:dyDescent="0.3">
      <c r="A19" s="296" t="s">
        <v>28</v>
      </c>
      <c r="B19" s="239"/>
      <c r="C19" s="239"/>
      <c r="D19" s="238"/>
      <c r="E19" s="237"/>
    </row>
    <row r="21" spans="1:5" x14ac:dyDescent="0.25">
      <c r="A21" s="288" t="s">
        <v>243</v>
      </c>
      <c r="B21" s="288"/>
      <c r="C21" s="288"/>
      <c r="D21" s="288"/>
      <c r="E21" s="288"/>
    </row>
    <row r="22" spans="1:5" x14ac:dyDescent="0.25">
      <c r="A22" s="289" t="s">
        <v>244</v>
      </c>
      <c r="B22" s="289"/>
      <c r="C22" s="289"/>
      <c r="D22" s="289"/>
      <c r="E22" s="289"/>
    </row>
    <row r="23" spans="1:5" x14ac:dyDescent="0.25">
      <c r="A23" s="290" t="s">
        <v>245</v>
      </c>
      <c r="B23" s="290"/>
      <c r="C23" s="290"/>
      <c r="D23" s="290"/>
      <c r="E23" s="290"/>
    </row>
    <row r="25" spans="1:5" ht="13.8" customHeight="1" x14ac:dyDescent="0.25">
      <c r="A25" s="236" t="s">
        <v>262</v>
      </c>
      <c r="B25" s="236"/>
      <c r="C25" s="236"/>
      <c r="D25" s="264"/>
      <c r="E25" s="264"/>
    </row>
    <row r="26" spans="1:5" ht="13.8" thickBot="1" x14ac:dyDescent="0.3"/>
    <row r="27" spans="1:5" ht="13.8" thickBot="1" x14ac:dyDescent="0.3">
      <c r="B27" s="291" t="s">
        <v>246</v>
      </c>
      <c r="C27" s="292"/>
      <c r="D27" s="293"/>
    </row>
  </sheetData>
  <sheetProtection formatCells="0" formatColumns="0" formatRows="0" insertColumns="0" insertRows="0" insertHyperlinks="0" deleteColumns="0" deleteRows="0" sort="0" autoFilter="0" pivotTables="0"/>
  <mergeCells count="3">
    <mergeCell ref="A21:E21"/>
    <mergeCell ref="A22:E22"/>
    <mergeCell ref="A23:E23"/>
  </mergeCells>
  <dataValidations count="2">
    <dataValidation type="whole" operator="greaterThan" allowBlank="1" showInputMessage="1" showErrorMessage="1" sqref="B7:C8" xr:uid="{AA231648-9EDA-4826-9C21-3C0B2BAACDFF}">
      <formula1>0</formula1>
    </dataValidation>
    <dataValidation type="decimal" allowBlank="1" showInputMessage="1" showErrorMessage="1" sqref="B3" xr:uid="{D796E69B-8EEF-4AAE-B0F0-55551A51C64D}">
      <formula1>0</formula1>
      <formula2>1</formula2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E3984-0C3E-4081-9DFF-ACCCABE1F107}">
  <dimension ref="A1:F27"/>
  <sheetViews>
    <sheetView workbookViewId="0">
      <selection activeCell="A28" sqref="A28"/>
    </sheetView>
  </sheetViews>
  <sheetFormatPr defaultColWidth="9.109375" defaultRowHeight="13.2" x14ac:dyDescent="0.25"/>
  <cols>
    <col min="1" max="1" width="26.109375" style="2" customWidth="1"/>
    <col min="2" max="2" width="21.109375" style="2" customWidth="1"/>
    <col min="3" max="3" width="23.88671875" style="2" customWidth="1"/>
    <col min="4" max="4" width="8.5546875" style="2" bestFit="1" customWidth="1"/>
    <col min="5" max="5" width="30.88671875" style="2" bestFit="1" customWidth="1"/>
    <col min="6" max="6" width="10.6640625" style="2" customWidth="1"/>
    <col min="7" max="16384" width="9.109375" style="2"/>
  </cols>
  <sheetData>
    <row r="1" spans="1:6" ht="21" x14ac:dyDescent="0.4">
      <c r="A1" s="257" t="s">
        <v>25</v>
      </c>
      <c r="B1" s="256"/>
      <c r="C1" s="256"/>
      <c r="D1" s="261"/>
      <c r="F1" s="1"/>
    </row>
    <row r="2" spans="1:6" ht="12.75" customHeight="1" x14ac:dyDescent="0.25"/>
    <row r="3" spans="1:6" ht="12.75" customHeight="1" x14ac:dyDescent="0.25">
      <c r="A3" s="254" t="s">
        <v>0</v>
      </c>
      <c r="B3" s="37">
        <v>0.05</v>
      </c>
    </row>
    <row r="4" spans="1:6" ht="12.75" customHeight="1" x14ac:dyDescent="0.25"/>
    <row r="5" spans="1:6" ht="12.75" customHeight="1" x14ac:dyDescent="0.25">
      <c r="B5" s="294"/>
    </row>
    <row r="6" spans="1:6" ht="12.75" customHeight="1" x14ac:dyDescent="0.25">
      <c r="B6" s="281">
        <v>1995</v>
      </c>
      <c r="C6" s="281">
        <v>2005</v>
      </c>
      <c r="F6" s="253"/>
    </row>
    <row r="7" spans="1:6" ht="12.75" customHeight="1" x14ac:dyDescent="0.25">
      <c r="A7" s="254" t="s">
        <v>6</v>
      </c>
      <c r="B7" s="37">
        <v>2010</v>
      </c>
      <c r="C7" s="37">
        <v>1530</v>
      </c>
      <c r="F7" s="253"/>
    </row>
    <row r="8" spans="1:6" ht="12.75" customHeight="1" x14ac:dyDescent="0.25">
      <c r="A8" s="254" t="s">
        <v>1</v>
      </c>
      <c r="B8" s="37">
        <v>3000</v>
      </c>
      <c r="C8" s="37">
        <v>3000</v>
      </c>
      <c r="D8" s="282"/>
      <c r="E8" s="282"/>
    </row>
    <row r="9" spans="1:6" ht="12.75" customHeight="1" x14ac:dyDescent="0.25"/>
    <row r="10" spans="1:6" ht="12.75" customHeight="1" x14ac:dyDescent="0.25">
      <c r="A10" s="252" t="s">
        <v>27</v>
      </c>
      <c r="B10" s="251">
        <f>B7/B8</f>
        <v>0.67</v>
      </c>
      <c r="C10" s="251">
        <f>C7/C8</f>
        <v>0.51</v>
      </c>
    </row>
    <row r="11" spans="1:6" ht="12.75" customHeight="1" x14ac:dyDescent="0.25">
      <c r="A11" s="253"/>
      <c r="C11" s="3"/>
    </row>
    <row r="12" spans="1:6" ht="12.75" hidden="1" customHeight="1" x14ac:dyDescent="0.25">
      <c r="A12" s="3" t="s">
        <v>26</v>
      </c>
      <c r="B12" s="280">
        <f>(B7+C7)/(B8+C8)</f>
        <v>0.59</v>
      </c>
      <c r="C12" s="3"/>
    </row>
    <row r="13" spans="1:6" ht="12.75" customHeight="1" x14ac:dyDescent="0.25">
      <c r="A13" s="252" t="s">
        <v>7</v>
      </c>
      <c r="B13" s="251">
        <f>(B10-C10)/SQRT(B12*(1-B12)*(1/B8+1/C8))</f>
        <v>12.599336583649068</v>
      </c>
      <c r="C13" s="3"/>
    </row>
    <row r="14" spans="1:6" ht="12.75" customHeight="1" x14ac:dyDescent="0.25">
      <c r="A14" s="253"/>
      <c r="C14" s="3"/>
    </row>
    <row r="15" spans="1:6" ht="12.75" customHeight="1" thickBot="1" x14ac:dyDescent="0.3"/>
    <row r="16" spans="1:6" ht="12.75" customHeight="1" x14ac:dyDescent="0.25">
      <c r="A16" s="295"/>
      <c r="B16" s="249" t="s">
        <v>9</v>
      </c>
      <c r="C16" s="249" t="s">
        <v>10</v>
      </c>
      <c r="D16" s="248" t="s">
        <v>12</v>
      </c>
      <c r="E16" s="247" t="s">
        <v>5</v>
      </c>
    </row>
    <row r="17" spans="1:6" ht="12.75" customHeight="1" x14ac:dyDescent="0.25">
      <c r="A17" s="246"/>
      <c r="B17"/>
      <c r="C17"/>
      <c r="D17" s="245"/>
      <c r="E17" s="244"/>
    </row>
    <row r="18" spans="1:6" x14ac:dyDescent="0.25">
      <c r="A18" s="243" t="s">
        <v>222</v>
      </c>
      <c r="B18" s="242">
        <f>NORMSINV($B$3)</f>
        <v>-1.6448536269514726</v>
      </c>
      <c r="C18" s="242" t="s">
        <v>11</v>
      </c>
      <c r="D18" s="242">
        <f>NORMSDIST(B13)</f>
        <v>1</v>
      </c>
      <c r="E18" s="241" t="str">
        <f>IF(D18&lt;$B$3,"Reject the null hypothesis","Do not reject the null hypothesis")</f>
        <v>Do not reject the null hypothesis</v>
      </c>
      <c r="F18" s="294"/>
    </row>
    <row r="19" spans="1:6" ht="13.8" thickBot="1" x14ac:dyDescent="0.3">
      <c r="A19" s="296" t="s">
        <v>259</v>
      </c>
      <c r="B19" s="239"/>
      <c r="C19" s="239"/>
      <c r="D19" s="238"/>
      <c r="E19" s="237"/>
    </row>
    <row r="21" spans="1:6" x14ac:dyDescent="0.25">
      <c r="A21" s="288" t="s">
        <v>243</v>
      </c>
      <c r="B21" s="288"/>
      <c r="C21" s="288"/>
      <c r="D21" s="288"/>
      <c r="E21" s="288"/>
    </row>
    <row r="22" spans="1:6" x14ac:dyDescent="0.25">
      <c r="A22" s="289" t="s">
        <v>244</v>
      </c>
      <c r="B22" s="289"/>
      <c r="C22" s="289"/>
      <c r="D22" s="289"/>
      <c r="E22" s="289"/>
    </row>
    <row r="23" spans="1:6" x14ac:dyDescent="0.25">
      <c r="A23" s="290" t="s">
        <v>245</v>
      </c>
      <c r="B23" s="290"/>
      <c r="C23" s="290"/>
      <c r="D23" s="290"/>
      <c r="E23" s="290"/>
    </row>
    <row r="25" spans="1:6" ht="13.8" customHeight="1" x14ac:dyDescent="0.25">
      <c r="A25" s="236" t="s">
        <v>263</v>
      </c>
      <c r="B25" s="236"/>
      <c r="C25" s="236"/>
      <c r="D25" s="264"/>
      <c r="E25" s="264"/>
    </row>
    <row r="26" spans="1:6" ht="13.8" thickBot="1" x14ac:dyDescent="0.3"/>
    <row r="27" spans="1:6" ht="13.8" thickBot="1" x14ac:dyDescent="0.3">
      <c r="B27" s="291" t="s">
        <v>246</v>
      </c>
      <c r="C27" s="292"/>
      <c r="D27" s="293"/>
    </row>
  </sheetData>
  <sheetProtection formatCells="0" formatColumns="0" formatRows="0" insertColumns="0" insertRows="0" insertHyperlinks="0" deleteColumns="0" deleteRows="0" sort="0" autoFilter="0" pivotTables="0"/>
  <mergeCells count="3">
    <mergeCell ref="A21:E21"/>
    <mergeCell ref="A22:E22"/>
    <mergeCell ref="A23:E23"/>
  </mergeCells>
  <dataValidations count="2">
    <dataValidation type="whole" operator="greaterThan" allowBlank="1" showInputMessage="1" showErrorMessage="1" sqref="B7:C8" xr:uid="{792B2999-5C38-48F8-B1D8-EA466E77B5B6}">
      <formula1>0</formula1>
    </dataValidation>
    <dataValidation type="decimal" allowBlank="1" showInputMessage="1" showErrorMessage="1" sqref="B3" xr:uid="{7173AC09-1AC2-48F6-85C4-CF950317C8EB}">
      <formula1>0</formula1>
      <formula2>1</formula2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09910-DE55-496C-8761-997A8BBA54F1}">
  <dimension ref="A1:F27"/>
  <sheetViews>
    <sheetView workbookViewId="0">
      <selection activeCell="A28" sqref="A28"/>
    </sheetView>
  </sheetViews>
  <sheetFormatPr defaultColWidth="9.109375" defaultRowHeight="13.2" x14ac:dyDescent="0.25"/>
  <cols>
    <col min="1" max="1" width="26.109375" style="2" customWidth="1"/>
    <col min="2" max="2" width="21.109375" style="2" customWidth="1"/>
    <col min="3" max="3" width="23.88671875" style="2" customWidth="1"/>
    <col min="4" max="4" width="8.5546875" style="2" bestFit="1" customWidth="1"/>
    <col min="5" max="5" width="30.88671875" style="2" bestFit="1" customWidth="1"/>
    <col min="6" max="6" width="10.6640625" style="2" customWidth="1"/>
    <col min="7" max="16384" width="9.109375" style="2"/>
  </cols>
  <sheetData>
    <row r="1" spans="1:6" ht="21" x14ac:dyDescent="0.4">
      <c r="A1" s="257" t="s">
        <v>25</v>
      </c>
      <c r="B1" s="256"/>
      <c r="C1" s="256"/>
      <c r="D1" s="261"/>
      <c r="F1" s="1"/>
    </row>
    <row r="2" spans="1:6" ht="12.75" customHeight="1" x14ac:dyDescent="0.25"/>
    <row r="3" spans="1:6" ht="12.75" customHeight="1" x14ac:dyDescent="0.25">
      <c r="A3" s="254" t="s">
        <v>0</v>
      </c>
      <c r="B3" s="37">
        <v>0.02</v>
      </c>
    </row>
    <row r="4" spans="1:6" ht="12.75" customHeight="1" x14ac:dyDescent="0.25"/>
    <row r="5" spans="1:6" ht="12.75" customHeight="1" x14ac:dyDescent="0.25">
      <c r="B5" s="294"/>
    </row>
    <row r="6" spans="1:6" ht="12.75" customHeight="1" x14ac:dyDescent="0.25">
      <c r="B6" s="281" t="s">
        <v>264</v>
      </c>
      <c r="C6" s="281" t="s">
        <v>265</v>
      </c>
      <c r="F6" s="253"/>
    </row>
    <row r="7" spans="1:6" ht="12.75" customHeight="1" x14ac:dyDescent="0.25">
      <c r="A7" s="254" t="s">
        <v>6</v>
      </c>
      <c r="B7" s="37">
        <v>168</v>
      </c>
      <c r="C7" s="37">
        <v>200</v>
      </c>
      <c r="F7" s="253"/>
    </row>
    <row r="8" spans="1:6" ht="12.75" customHeight="1" x14ac:dyDescent="0.25">
      <c r="A8" s="254" t="s">
        <v>1</v>
      </c>
      <c r="B8" s="37">
        <v>800</v>
      </c>
      <c r="C8" s="37">
        <v>1000</v>
      </c>
      <c r="D8" s="282"/>
      <c r="E8" s="282"/>
    </row>
    <row r="9" spans="1:6" ht="12.75" customHeight="1" x14ac:dyDescent="0.25"/>
    <row r="10" spans="1:6" ht="12.75" customHeight="1" x14ac:dyDescent="0.25">
      <c r="A10" s="252" t="s">
        <v>27</v>
      </c>
      <c r="B10" s="251">
        <f>B7/B8</f>
        <v>0.21</v>
      </c>
      <c r="C10" s="251">
        <f>C7/C8</f>
        <v>0.2</v>
      </c>
    </row>
    <row r="11" spans="1:6" ht="12.75" customHeight="1" x14ac:dyDescent="0.25">
      <c r="A11" s="253"/>
      <c r="C11" s="3"/>
    </row>
    <row r="12" spans="1:6" ht="12.75" hidden="1" customHeight="1" x14ac:dyDescent="0.25">
      <c r="A12" s="3" t="s">
        <v>26</v>
      </c>
      <c r="B12" s="280">
        <f>(B7+C7)/(B8+C8)</f>
        <v>0.20444444444444446</v>
      </c>
      <c r="C12" s="3"/>
    </row>
    <row r="13" spans="1:6" ht="12.75" customHeight="1" x14ac:dyDescent="0.25">
      <c r="A13" s="252" t="s">
        <v>7</v>
      </c>
      <c r="B13" s="251">
        <f>(B10-C10)/SQRT(B12*(1-B12)*(1/B8+1/C8))</f>
        <v>0.52274011337904269</v>
      </c>
      <c r="C13" s="3"/>
    </row>
    <row r="14" spans="1:6" ht="12.75" customHeight="1" x14ac:dyDescent="0.25">
      <c r="A14" s="253"/>
      <c r="C14" s="3"/>
    </row>
    <row r="15" spans="1:6" ht="12.75" customHeight="1" thickBot="1" x14ac:dyDescent="0.3"/>
    <row r="16" spans="1:6" ht="12.75" customHeight="1" x14ac:dyDescent="0.25">
      <c r="A16" s="295"/>
      <c r="B16" s="249" t="s">
        <v>9</v>
      </c>
      <c r="C16" s="249" t="s">
        <v>10</v>
      </c>
      <c r="D16" s="248" t="s">
        <v>12</v>
      </c>
      <c r="E16" s="247" t="s">
        <v>5</v>
      </c>
    </row>
    <row r="17" spans="1:6" ht="12.75" customHeight="1" x14ac:dyDescent="0.25">
      <c r="A17" s="246"/>
      <c r="B17"/>
      <c r="C17"/>
      <c r="D17" s="245"/>
      <c r="E17" s="244"/>
    </row>
    <row r="18" spans="1:6" x14ac:dyDescent="0.25">
      <c r="A18" s="243" t="s">
        <v>4</v>
      </c>
      <c r="B18" s="242" t="s">
        <v>11</v>
      </c>
      <c r="C18" s="242">
        <f>NORMSINV(1-$B$3)</f>
        <v>2.0537489106318221</v>
      </c>
      <c r="D18" s="242">
        <f>1-NORMSDIST(B13)</f>
        <v>0.30057755972624678</v>
      </c>
      <c r="E18" s="241" t="str">
        <f>IF(D18&lt;$B$3,"Reject the null hypothesis","Do not reject the null hypothesis")</f>
        <v>Do not reject the null hypothesis</v>
      </c>
    </row>
    <row r="19" spans="1:6" ht="13.8" thickBot="1" x14ac:dyDescent="0.3">
      <c r="A19" s="296" t="s">
        <v>258</v>
      </c>
      <c r="B19" s="239"/>
      <c r="C19" s="239"/>
      <c r="D19" s="238"/>
      <c r="E19" s="237"/>
    </row>
    <row r="21" spans="1:6" x14ac:dyDescent="0.25">
      <c r="A21" s="288" t="s">
        <v>243</v>
      </c>
      <c r="B21" s="288"/>
      <c r="C21" s="288"/>
      <c r="D21" s="288"/>
      <c r="E21" s="288"/>
    </row>
    <row r="22" spans="1:6" x14ac:dyDescent="0.25">
      <c r="A22" s="289" t="s">
        <v>244</v>
      </c>
      <c r="B22" s="289"/>
      <c r="C22" s="289"/>
      <c r="D22" s="289"/>
      <c r="E22" s="289"/>
    </row>
    <row r="23" spans="1:6" x14ac:dyDescent="0.25">
      <c r="A23" s="290" t="s">
        <v>245</v>
      </c>
      <c r="B23" s="290"/>
      <c r="C23" s="290"/>
      <c r="D23" s="290"/>
      <c r="E23" s="290"/>
    </row>
    <row r="25" spans="1:6" x14ac:dyDescent="0.25">
      <c r="A25" s="236" t="s">
        <v>266</v>
      </c>
      <c r="B25" s="236"/>
      <c r="C25" s="236"/>
      <c r="D25" s="236"/>
      <c r="E25" s="236"/>
      <c r="F25" s="236"/>
    </row>
    <row r="26" spans="1:6" ht="13.8" thickBot="1" x14ac:dyDescent="0.3"/>
    <row r="27" spans="1:6" ht="13.8" thickBot="1" x14ac:dyDescent="0.3">
      <c r="B27" s="291" t="s">
        <v>246</v>
      </c>
      <c r="C27" s="292"/>
      <c r="D27" s="293"/>
    </row>
  </sheetData>
  <sheetProtection formatCells="0" formatColumns="0" formatRows="0" insertColumns="0" insertRows="0" insertHyperlinks="0" deleteColumns="0" deleteRows="0" sort="0" autoFilter="0" pivotTables="0"/>
  <mergeCells count="3">
    <mergeCell ref="A21:E21"/>
    <mergeCell ref="A22:E22"/>
    <mergeCell ref="A23:E23"/>
  </mergeCells>
  <dataValidations count="2">
    <dataValidation type="decimal" allowBlank="1" showInputMessage="1" showErrorMessage="1" sqref="B3" xr:uid="{41F0FA72-BE59-4910-A951-86570F5769A2}">
      <formula1>0</formula1>
      <formula2>1</formula2>
    </dataValidation>
    <dataValidation type="whole" operator="greaterThan" allowBlank="1" showInputMessage="1" showErrorMessage="1" sqref="B7:C8" xr:uid="{32813FF1-52B8-4977-A5C0-EF45E8703621}">
      <formula1>0</formula1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A21" sqref="A21"/>
    </sheetView>
  </sheetViews>
  <sheetFormatPr defaultColWidth="9.109375" defaultRowHeight="13.2" x14ac:dyDescent="0.25"/>
  <cols>
    <col min="1" max="1" width="25.6640625" style="2" customWidth="1"/>
    <col min="2" max="2" width="17.44140625" style="2" customWidth="1"/>
    <col min="3" max="3" width="17.33203125" style="2" customWidth="1"/>
    <col min="4" max="4" width="12.33203125" style="2" customWidth="1"/>
    <col min="5" max="5" width="30.88671875" style="2" bestFit="1" customWidth="1"/>
    <col min="6" max="16384" width="9.109375" style="2"/>
  </cols>
  <sheetData>
    <row r="1" spans="1:5" ht="21" x14ac:dyDescent="0.4">
      <c r="A1" s="257" t="s">
        <v>221</v>
      </c>
      <c r="B1" s="256"/>
      <c r="C1" s="256"/>
      <c r="D1" s="256"/>
      <c r="E1" s="1"/>
    </row>
    <row r="2" spans="1:5" ht="11.85" customHeight="1" x14ac:dyDescent="0.25"/>
    <row r="3" spans="1:5" x14ac:dyDescent="0.25">
      <c r="A3" s="255" t="s">
        <v>220</v>
      </c>
      <c r="B3" s="37">
        <v>3</v>
      </c>
      <c r="C3" s="253"/>
      <c r="D3" s="253"/>
      <c r="E3" s="253"/>
    </row>
    <row r="4" spans="1:5" x14ac:dyDescent="0.25">
      <c r="A4" s="254" t="s">
        <v>0</v>
      </c>
      <c r="B4" s="37">
        <v>0.05</v>
      </c>
      <c r="C4" s="253"/>
      <c r="D4" s="253"/>
      <c r="E4" s="253"/>
    </row>
    <row r="5" spans="1:5" x14ac:dyDescent="0.25">
      <c r="A5" s="255" t="s">
        <v>1</v>
      </c>
      <c r="B5" s="37">
        <v>50</v>
      </c>
      <c r="C5" s="253"/>
      <c r="D5" s="253"/>
      <c r="E5" s="253"/>
    </row>
    <row r="6" spans="1:5" x14ac:dyDescent="0.25">
      <c r="A6" s="255" t="s">
        <v>2</v>
      </c>
      <c r="B6" s="37">
        <v>2.75</v>
      </c>
      <c r="C6" s="253"/>
      <c r="D6" s="253"/>
      <c r="E6" s="253"/>
    </row>
    <row r="7" spans="1:5" x14ac:dyDescent="0.25">
      <c r="A7" s="255" t="s">
        <v>219</v>
      </c>
      <c r="B7" s="37">
        <v>1</v>
      </c>
      <c r="C7" s="253"/>
      <c r="D7" s="253"/>
      <c r="E7" s="253"/>
    </row>
    <row r="8" spans="1:5" x14ac:dyDescent="0.25">
      <c r="E8" s="3"/>
    </row>
    <row r="9" spans="1:5" x14ac:dyDescent="0.25">
      <c r="A9" s="252" t="s">
        <v>8</v>
      </c>
      <c r="B9" s="251">
        <f>(B6-B3)/(B7/SQRT(B5))</f>
        <v>-1.7677669529663689</v>
      </c>
      <c r="E9" s="3"/>
    </row>
    <row r="10" spans="1:5" x14ac:dyDescent="0.25">
      <c r="E10" s="3"/>
    </row>
    <row r="11" spans="1:5" ht="13.8" thickBot="1" x14ac:dyDescent="0.3">
      <c r="E11" s="3"/>
    </row>
    <row r="12" spans="1:5" x14ac:dyDescent="0.25">
      <c r="A12" s="250" t="s">
        <v>218</v>
      </c>
      <c r="B12" s="249" t="s">
        <v>9</v>
      </c>
      <c r="C12" s="249" t="s">
        <v>10</v>
      </c>
      <c r="D12" s="248" t="s">
        <v>12</v>
      </c>
      <c r="E12" s="247" t="s">
        <v>5</v>
      </c>
    </row>
    <row r="13" spans="1:5" x14ac:dyDescent="0.25">
      <c r="A13" s="246"/>
      <c r="B13"/>
      <c r="C13"/>
      <c r="D13" s="245"/>
      <c r="E13" s="244"/>
    </row>
    <row r="14" spans="1:5" x14ac:dyDescent="0.25">
      <c r="A14" s="243" t="s">
        <v>222</v>
      </c>
      <c r="B14" s="242">
        <f>IF($B$5&gt;29,NORMSINV($B$4),-TINV(2*$B$4,$B$5-1))</f>
        <v>-1.6448536269514726</v>
      </c>
      <c r="C14" s="242" t="s">
        <v>11</v>
      </c>
      <c r="D14" s="242">
        <f>IF(B5&lt;30,IF(B9&lt;0,TDIST(ABS(B9),B5-1,1),1-TDIST(ABS(B9),B5-1,1)),NORMSDIST(B9))</f>
        <v>3.8549935871770857E-2</v>
      </c>
      <c r="E14" s="241" t="str">
        <f>IF(D14&lt;$B$4,"Reject the null hypothesis","Do not reject the null hypothesis")</f>
        <v>Reject the null hypothesis</v>
      </c>
    </row>
    <row r="15" spans="1:5" ht="13.8" thickBot="1" x14ac:dyDescent="0.3">
      <c r="A15" s="240" t="str">
        <f>"HA:  m &lt; "&amp;B3</f>
        <v>HA:  m &lt; 3</v>
      </c>
      <c r="B15" s="239"/>
      <c r="C15" s="239"/>
      <c r="D15" s="259"/>
      <c r="E15" s="258"/>
    </row>
    <row r="17" spans="1:4" x14ac:dyDescent="0.25">
      <c r="A17" s="236" t="s">
        <v>228</v>
      </c>
      <c r="B17" s="236"/>
      <c r="C17" s="236"/>
      <c r="D17" s="236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AC094-CC5E-4A51-96AD-4668FCEA4001}">
  <dimension ref="A1:F27"/>
  <sheetViews>
    <sheetView workbookViewId="0">
      <selection activeCell="A28" sqref="A28"/>
    </sheetView>
  </sheetViews>
  <sheetFormatPr defaultColWidth="9.109375" defaultRowHeight="13.2" x14ac:dyDescent="0.25"/>
  <cols>
    <col min="1" max="1" width="26.109375" style="2" customWidth="1"/>
    <col min="2" max="2" width="21.109375" style="2" customWidth="1"/>
    <col min="3" max="3" width="23.88671875" style="2" customWidth="1"/>
    <col min="4" max="4" width="8.5546875" style="2" bestFit="1" customWidth="1"/>
    <col min="5" max="5" width="30.88671875" style="2" bestFit="1" customWidth="1"/>
    <col min="6" max="6" width="10.6640625" style="2" customWidth="1"/>
    <col min="7" max="16384" width="9.109375" style="2"/>
  </cols>
  <sheetData>
    <row r="1" spans="1:6" ht="21" x14ac:dyDescent="0.4">
      <c r="A1" s="257" t="s">
        <v>25</v>
      </c>
      <c r="B1" s="256"/>
      <c r="C1" s="256"/>
      <c r="D1" s="261"/>
      <c r="F1" s="1"/>
    </row>
    <row r="2" spans="1:6" ht="12.75" customHeight="1" x14ac:dyDescent="0.25"/>
    <row r="3" spans="1:6" ht="12.75" customHeight="1" x14ac:dyDescent="0.25">
      <c r="A3" s="254" t="s">
        <v>0</v>
      </c>
      <c r="B3" s="37">
        <v>0.05</v>
      </c>
    </row>
    <row r="4" spans="1:6" ht="12.75" customHeight="1" x14ac:dyDescent="0.25"/>
    <row r="5" spans="1:6" ht="12.75" customHeight="1" x14ac:dyDescent="0.25">
      <c r="B5" s="294"/>
    </row>
    <row r="6" spans="1:6" ht="12.75" customHeight="1" x14ac:dyDescent="0.25">
      <c r="B6" s="281" t="s">
        <v>267</v>
      </c>
      <c r="C6" s="281" t="s">
        <v>268</v>
      </c>
      <c r="F6" s="253"/>
    </row>
    <row r="7" spans="1:6" ht="12.75" customHeight="1" x14ac:dyDescent="0.25">
      <c r="A7" s="254" t="s">
        <v>6</v>
      </c>
      <c r="B7" s="37">
        <v>120</v>
      </c>
      <c r="C7" s="37">
        <v>150</v>
      </c>
      <c r="F7" s="253"/>
    </row>
    <row r="8" spans="1:6" ht="12.75" customHeight="1" x14ac:dyDescent="0.25">
      <c r="A8" s="254" t="s">
        <v>1</v>
      </c>
      <c r="B8" s="37">
        <v>400</v>
      </c>
      <c r="C8" s="37">
        <v>600</v>
      </c>
      <c r="D8" s="282"/>
      <c r="E8" s="282"/>
    </row>
    <row r="9" spans="1:6" ht="12.75" customHeight="1" x14ac:dyDescent="0.25"/>
    <row r="10" spans="1:6" ht="12.75" customHeight="1" x14ac:dyDescent="0.25">
      <c r="A10" s="252" t="s">
        <v>27</v>
      </c>
      <c r="B10" s="251">
        <f>B7/B8</f>
        <v>0.3</v>
      </c>
      <c r="C10" s="251">
        <f>C7/C8</f>
        <v>0.25</v>
      </c>
    </row>
    <row r="11" spans="1:6" ht="12.75" customHeight="1" x14ac:dyDescent="0.25">
      <c r="A11" s="253"/>
      <c r="C11" s="3"/>
    </row>
    <row r="12" spans="1:6" ht="12.75" hidden="1" customHeight="1" x14ac:dyDescent="0.25">
      <c r="A12" s="3" t="s">
        <v>26</v>
      </c>
      <c r="B12" s="280">
        <f>(B7+C7)/(B8+C8)</f>
        <v>0.27</v>
      </c>
      <c r="C12" s="3"/>
    </row>
    <row r="13" spans="1:6" ht="12.75" customHeight="1" x14ac:dyDescent="0.25">
      <c r="A13" s="252" t="s">
        <v>7</v>
      </c>
      <c r="B13" s="251">
        <f>(B10-C10)/SQRT(B12*(1-B12)*(1/B8+1/C8))</f>
        <v>1.7447464086340454</v>
      </c>
      <c r="C13" s="3"/>
    </row>
    <row r="14" spans="1:6" ht="12.75" customHeight="1" x14ac:dyDescent="0.25">
      <c r="A14" s="253"/>
      <c r="C14" s="3"/>
    </row>
    <row r="15" spans="1:6" ht="12.75" customHeight="1" thickBot="1" x14ac:dyDescent="0.3"/>
    <row r="16" spans="1:6" ht="12.75" customHeight="1" x14ac:dyDescent="0.25">
      <c r="A16" s="295"/>
      <c r="B16" s="249" t="s">
        <v>9</v>
      </c>
      <c r="C16" s="249" t="s">
        <v>10</v>
      </c>
      <c r="D16" s="248" t="s">
        <v>12</v>
      </c>
      <c r="E16" s="247" t="s">
        <v>5</v>
      </c>
    </row>
    <row r="17" spans="1:6" ht="12.75" customHeight="1" x14ac:dyDescent="0.25">
      <c r="A17" s="246"/>
      <c r="B17"/>
      <c r="C17"/>
      <c r="D17" s="245"/>
      <c r="E17" s="244"/>
    </row>
    <row r="18" spans="1:6" ht="12.75" customHeight="1" x14ac:dyDescent="0.25">
      <c r="A18" s="243" t="s">
        <v>3</v>
      </c>
      <c r="B18" s="242">
        <f>NORMSINV($B$3/2)</f>
        <v>-1.9599639845400538</v>
      </c>
      <c r="C18" s="242">
        <f>NORMSINV(1-$B$3/2)</f>
        <v>1.9599639845400536</v>
      </c>
      <c r="D18" s="242">
        <f>2*(1-NORMSDIST(ABS(B13)))</f>
        <v>8.1029021111569843E-2</v>
      </c>
      <c r="E18" s="241" t="str">
        <f>IF(D18&lt;$B$3,"Reject the null hypothesis","Do not reject the null hypothesis")</f>
        <v>Do not reject the null hypothesis</v>
      </c>
    </row>
    <row r="19" spans="1:6" ht="13.8" thickBot="1" x14ac:dyDescent="0.3">
      <c r="A19" s="296" t="s">
        <v>28</v>
      </c>
      <c r="B19" s="239"/>
      <c r="C19" s="239"/>
      <c r="D19" s="238"/>
      <c r="E19" s="237"/>
    </row>
    <row r="21" spans="1:6" x14ac:dyDescent="0.25">
      <c r="A21" s="288" t="s">
        <v>243</v>
      </c>
      <c r="B21" s="288"/>
      <c r="C21" s="288"/>
      <c r="D21" s="288"/>
      <c r="E21" s="288"/>
    </row>
    <row r="22" spans="1:6" x14ac:dyDescent="0.25">
      <c r="A22" s="289" t="s">
        <v>244</v>
      </c>
      <c r="B22" s="289"/>
      <c r="C22" s="289"/>
      <c r="D22" s="289"/>
      <c r="E22" s="289"/>
    </row>
    <row r="23" spans="1:6" x14ac:dyDescent="0.25">
      <c r="A23" s="290" t="s">
        <v>245</v>
      </c>
      <c r="B23" s="290"/>
      <c r="C23" s="290"/>
      <c r="D23" s="290"/>
      <c r="E23" s="290"/>
    </row>
    <row r="25" spans="1:6" x14ac:dyDescent="0.25">
      <c r="A25" s="236" t="s">
        <v>269</v>
      </c>
      <c r="B25" s="236"/>
      <c r="C25" s="236"/>
      <c r="D25" s="236"/>
      <c r="E25" s="236"/>
      <c r="F25" s="236"/>
    </row>
    <row r="26" spans="1:6" ht="13.8" thickBot="1" x14ac:dyDescent="0.3"/>
    <row r="27" spans="1:6" ht="13.8" thickBot="1" x14ac:dyDescent="0.3">
      <c r="B27" s="291" t="s">
        <v>246</v>
      </c>
      <c r="C27" s="292"/>
      <c r="D27" s="293"/>
    </row>
  </sheetData>
  <sheetProtection formatCells="0" formatColumns="0" formatRows="0" insertColumns="0" insertRows="0" insertHyperlinks="0" deleteColumns="0" deleteRows="0" sort="0" autoFilter="0" pivotTables="0"/>
  <mergeCells count="3">
    <mergeCell ref="A21:E21"/>
    <mergeCell ref="A22:E22"/>
    <mergeCell ref="A23:E23"/>
  </mergeCells>
  <dataValidations count="2">
    <dataValidation type="decimal" allowBlank="1" showInputMessage="1" showErrorMessage="1" sqref="B3" xr:uid="{7CF584F4-C474-4FFB-8592-B4F27CCB5AE2}">
      <formula1>0</formula1>
      <formula2>1</formula2>
    </dataValidation>
    <dataValidation type="whole" operator="greaterThan" allowBlank="1" showInputMessage="1" showErrorMessage="1" sqref="B7:C8" xr:uid="{655DBB1C-BFDC-4FD8-BF8B-54AD5119AEF7}">
      <formula1>0</formula1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65B91-D23F-4FDD-9587-74F940462C44}">
  <sheetPr>
    <pageSetUpPr fitToPage="1"/>
  </sheetPr>
  <dimension ref="A1:H491"/>
  <sheetViews>
    <sheetView workbookViewId="0">
      <selection activeCell="D24" sqref="D24"/>
    </sheetView>
  </sheetViews>
  <sheetFormatPr defaultColWidth="9.109375" defaultRowHeight="13.2" x14ac:dyDescent="0.25"/>
  <cols>
    <col min="1" max="2" width="9.88671875" style="2" customWidth="1"/>
    <col min="3" max="3" width="4.109375" style="2" customWidth="1"/>
    <col min="4" max="4" width="27.6640625" style="2" customWidth="1"/>
    <col min="5" max="6" width="11.33203125" style="2" customWidth="1"/>
    <col min="7" max="7" width="8.5546875" style="2" bestFit="1" customWidth="1"/>
    <col min="8" max="8" width="30.88671875" style="2" bestFit="1" customWidth="1"/>
    <col min="9" max="16384" width="9.109375" style="2"/>
  </cols>
  <sheetData>
    <row r="1" spans="1:8" s="25" customFormat="1" ht="21" x14ac:dyDescent="0.4">
      <c r="A1" s="257" t="s">
        <v>13</v>
      </c>
      <c r="B1" s="279"/>
      <c r="C1" s="278"/>
      <c r="D1" s="278"/>
      <c r="E1" s="279"/>
      <c r="F1" s="279"/>
      <c r="G1" s="279"/>
      <c r="H1" s="279"/>
    </row>
    <row r="2" spans="1:8" ht="12.75" customHeight="1" x14ac:dyDescent="0.4">
      <c r="A2" s="58"/>
      <c r="B2" s="58"/>
      <c r="D2" s="26"/>
    </row>
    <row r="3" spans="1:8" ht="12.75" customHeight="1" thickBot="1" x14ac:dyDescent="0.3">
      <c r="A3" s="297" t="s">
        <v>271</v>
      </c>
      <c r="B3" s="298" t="s">
        <v>272</v>
      </c>
      <c r="D3" s="254" t="s">
        <v>0</v>
      </c>
      <c r="E3" s="37">
        <v>0.01</v>
      </c>
    </row>
    <row r="4" spans="1:8" ht="12.75" customHeight="1" x14ac:dyDescent="0.25">
      <c r="A4" s="299">
        <v>72</v>
      </c>
      <c r="B4" s="300">
        <v>81</v>
      </c>
    </row>
    <row r="5" spans="1:8" ht="12.75" customHeight="1" x14ac:dyDescent="0.25">
      <c r="A5" s="299">
        <v>69</v>
      </c>
      <c r="B5" s="300">
        <v>67</v>
      </c>
      <c r="E5" s="281" t="str">
        <f>A3</f>
        <v>Men</v>
      </c>
      <c r="F5" s="281" t="str">
        <f>B3</f>
        <v>Women</v>
      </c>
    </row>
    <row r="6" spans="1:8" ht="12.75" customHeight="1" x14ac:dyDescent="0.25">
      <c r="A6" s="299">
        <v>98</v>
      </c>
      <c r="B6" s="300">
        <v>90</v>
      </c>
      <c r="D6" s="254" t="s">
        <v>2</v>
      </c>
      <c r="E6" s="301">
        <f>AVERAGE(A4:A203)</f>
        <v>78</v>
      </c>
      <c r="F6" s="301">
        <f>AVERAGE(B4:B203)</f>
        <v>79</v>
      </c>
    </row>
    <row r="7" spans="1:8" ht="12.75" customHeight="1" x14ac:dyDescent="0.25">
      <c r="A7" s="299">
        <v>66</v>
      </c>
      <c r="B7" s="300">
        <v>78</v>
      </c>
      <c r="D7" s="254" t="s">
        <v>1</v>
      </c>
      <c r="E7" s="302">
        <f>COUNT(A4:A203)</f>
        <v>9</v>
      </c>
      <c r="F7" s="302">
        <f>COUNT(B4:B203)</f>
        <v>7</v>
      </c>
    </row>
    <row r="8" spans="1:8" ht="12.75" customHeight="1" x14ac:dyDescent="0.25">
      <c r="A8" s="299">
        <v>85</v>
      </c>
      <c r="B8" s="300">
        <v>81</v>
      </c>
      <c r="D8" s="254" t="s">
        <v>14</v>
      </c>
      <c r="E8" s="301">
        <f>STDEV(A4:A203)</f>
        <v>9.4868329805051381</v>
      </c>
      <c r="F8" s="301">
        <f>STDEV(B4:B203)</f>
        <v>6.8799224801834313</v>
      </c>
    </row>
    <row r="9" spans="1:8" ht="12.75" customHeight="1" x14ac:dyDescent="0.25">
      <c r="A9" s="299">
        <v>76</v>
      </c>
      <c r="B9" s="300">
        <v>80</v>
      </c>
      <c r="D9" s="3"/>
      <c r="E9" s="282"/>
      <c r="F9" s="282"/>
    </row>
    <row r="10" spans="1:8" ht="12.75" customHeight="1" x14ac:dyDescent="0.25">
      <c r="A10" s="299">
        <v>79</v>
      </c>
      <c r="B10" s="300">
        <v>76</v>
      </c>
      <c r="D10" s="252" t="s">
        <v>15</v>
      </c>
      <c r="E10" s="251">
        <f>IF(AND(E7&gt;29,F7&gt;29),SQRT(E8*E8/E7+F8*F8/F7),SQRT(((E7-1)*E8*E8+(F7-1)*F8*F8)*(1/E7+1/F7)/(E7+F7-2)))</f>
        <v>4.2676869528396342</v>
      </c>
      <c r="F10" s="282"/>
    </row>
    <row r="11" spans="1:8" ht="12.75" customHeight="1" x14ac:dyDescent="0.25">
      <c r="A11" s="299">
        <v>80</v>
      </c>
      <c r="B11" s="300"/>
      <c r="D11" s="252" t="s">
        <v>8</v>
      </c>
      <c r="E11" s="251">
        <f>(E6-F6)/E10</f>
        <v>-0.23431896740566219</v>
      </c>
      <c r="F11" s="282"/>
    </row>
    <row r="12" spans="1:8" ht="12.75" customHeight="1" x14ac:dyDescent="0.25">
      <c r="A12" s="299">
        <v>77</v>
      </c>
      <c r="B12" s="300"/>
    </row>
    <row r="13" spans="1:8" ht="12.75" customHeight="1" thickBot="1" x14ac:dyDescent="0.3">
      <c r="A13" s="299"/>
      <c r="B13" s="300"/>
    </row>
    <row r="14" spans="1:8" ht="12.75" customHeight="1" x14ac:dyDescent="0.25">
      <c r="A14" s="299"/>
      <c r="B14" s="300"/>
      <c r="D14" s="295"/>
      <c r="E14" s="303" t="s">
        <v>19</v>
      </c>
      <c r="F14" s="303" t="s">
        <v>20</v>
      </c>
      <c r="G14" s="248" t="s">
        <v>12</v>
      </c>
      <c r="H14" s="247" t="s">
        <v>5</v>
      </c>
    </row>
    <row r="15" spans="1:8" ht="12.75" customHeight="1" x14ac:dyDescent="0.25">
      <c r="A15" s="299"/>
      <c r="B15" s="300"/>
      <c r="D15" s="246"/>
      <c r="E15" s="304" t="s">
        <v>21</v>
      </c>
      <c r="F15" s="304" t="s">
        <v>21</v>
      </c>
      <c r="G15" s="305"/>
      <c r="H15" s="306"/>
    </row>
    <row r="16" spans="1:8" ht="12.75" customHeight="1" x14ac:dyDescent="0.25">
      <c r="A16" s="299"/>
      <c r="B16" s="300"/>
      <c r="D16" s="246"/>
      <c r="E16"/>
      <c r="F16"/>
      <c r="G16" s="245"/>
      <c r="H16" s="244"/>
    </row>
    <row r="17" spans="1:8" ht="12.75" customHeight="1" x14ac:dyDescent="0.25">
      <c r="A17" s="299"/>
      <c r="B17" s="300"/>
      <c r="D17" s="243" t="s">
        <v>222</v>
      </c>
      <c r="E17" s="242">
        <f>IF(AND($E$7&gt;29,$F$7&gt;29),NORMSINV($E$3),-TINV(2*$E$3,$E$7+$F$7-2))</f>
        <v>-2.6244940675900517</v>
      </c>
      <c r="F17" s="242" t="s">
        <v>11</v>
      </c>
      <c r="G17" s="242">
        <f>IF($E$11&lt;0,TDIST(ABS($E$11),$E$7+$F$7,1),1-TDIST(ABS($E$11),$E$7+$F$7,1))</f>
        <v>0.40885472280715673</v>
      </c>
      <c r="H17" s="241" t="str">
        <f>IF(G17&lt;$E$3,"Reject the null hypothesis","Do not reject the null hypothesis")</f>
        <v>Do not reject the null hypothesis</v>
      </c>
    </row>
    <row r="18" spans="1:8" ht="12.75" customHeight="1" thickBot="1" x14ac:dyDescent="0.3">
      <c r="A18" s="299"/>
      <c r="B18" s="300"/>
      <c r="D18" s="287" t="s">
        <v>242</v>
      </c>
      <c r="E18" s="239"/>
      <c r="F18" s="239"/>
      <c r="G18" s="238"/>
      <c r="H18" s="237"/>
    </row>
    <row r="19" spans="1:8" x14ac:dyDescent="0.25">
      <c r="A19" s="299"/>
      <c r="B19" s="300"/>
    </row>
    <row r="20" spans="1:8" x14ac:dyDescent="0.25">
      <c r="A20" s="299"/>
      <c r="B20" s="300"/>
      <c r="D20" s="288" t="s">
        <v>243</v>
      </c>
      <c r="E20" s="288"/>
      <c r="F20" s="288"/>
      <c r="G20" s="288"/>
      <c r="H20" s="288"/>
    </row>
    <row r="21" spans="1:8" x14ac:dyDescent="0.25">
      <c r="A21" s="299"/>
      <c r="B21" s="300"/>
      <c r="D21" s="289" t="s">
        <v>244</v>
      </c>
      <c r="E21" s="289"/>
      <c r="F21" s="289"/>
      <c r="G21" s="289"/>
      <c r="H21" s="289"/>
    </row>
    <row r="22" spans="1:8" x14ac:dyDescent="0.25">
      <c r="A22" s="299"/>
      <c r="B22" s="300"/>
      <c r="D22" s="290" t="s">
        <v>245</v>
      </c>
      <c r="E22" s="290"/>
      <c r="F22" s="290"/>
      <c r="G22" s="290"/>
      <c r="H22" s="290"/>
    </row>
    <row r="23" spans="1:8" x14ac:dyDescent="0.25">
      <c r="A23" s="299"/>
      <c r="B23" s="300"/>
    </row>
    <row r="24" spans="1:8" x14ac:dyDescent="0.25">
      <c r="A24" s="299"/>
      <c r="B24" s="300"/>
      <c r="D24" s="236" t="s">
        <v>273</v>
      </c>
      <c r="E24" s="236"/>
      <c r="F24" s="236"/>
      <c r="G24" s="236"/>
      <c r="H24" s="236"/>
    </row>
    <row r="25" spans="1:8" ht="13.8" thickBot="1" x14ac:dyDescent="0.3">
      <c r="A25" s="299"/>
      <c r="B25" s="300"/>
    </row>
    <row r="26" spans="1:8" ht="13.8" thickBot="1" x14ac:dyDescent="0.3">
      <c r="A26" s="299"/>
      <c r="B26" s="300"/>
      <c r="E26" s="291" t="s">
        <v>270</v>
      </c>
      <c r="F26" s="292"/>
      <c r="G26" s="293"/>
    </row>
    <row r="27" spans="1:8" x14ac:dyDescent="0.25">
      <c r="A27" s="299"/>
      <c r="B27" s="300"/>
    </row>
    <row r="28" spans="1:8" x14ac:dyDescent="0.25">
      <c r="A28" s="299"/>
      <c r="B28" s="300"/>
    </row>
    <row r="29" spans="1:8" x14ac:dyDescent="0.25">
      <c r="A29" s="299"/>
      <c r="B29" s="300"/>
    </row>
    <row r="30" spans="1:8" x14ac:dyDescent="0.25">
      <c r="A30" s="299"/>
      <c r="B30" s="300"/>
    </row>
    <row r="31" spans="1:8" x14ac:dyDescent="0.25">
      <c r="A31" s="299"/>
      <c r="B31" s="300"/>
    </row>
    <row r="32" spans="1:8" x14ac:dyDescent="0.25">
      <c r="A32" s="299"/>
      <c r="B32" s="300"/>
    </row>
    <row r="33" spans="1:2" x14ac:dyDescent="0.25">
      <c r="A33" s="299"/>
      <c r="B33" s="300"/>
    </row>
    <row r="34" spans="1:2" x14ac:dyDescent="0.25">
      <c r="A34" s="299"/>
      <c r="B34" s="300"/>
    </row>
    <row r="35" spans="1:2" x14ac:dyDescent="0.25">
      <c r="A35" s="299"/>
      <c r="B35" s="300"/>
    </row>
    <row r="36" spans="1:2" x14ac:dyDescent="0.25">
      <c r="A36" s="299"/>
      <c r="B36" s="300"/>
    </row>
    <row r="37" spans="1:2" x14ac:dyDescent="0.25">
      <c r="A37" s="299"/>
      <c r="B37" s="300"/>
    </row>
    <row r="38" spans="1:2" x14ac:dyDescent="0.25">
      <c r="A38" s="299"/>
      <c r="B38" s="300"/>
    </row>
    <row r="39" spans="1:2" x14ac:dyDescent="0.25">
      <c r="A39" s="299"/>
      <c r="B39" s="300"/>
    </row>
    <row r="40" spans="1:2" x14ac:dyDescent="0.25">
      <c r="A40" s="299"/>
      <c r="B40" s="300"/>
    </row>
    <row r="41" spans="1:2" x14ac:dyDescent="0.25">
      <c r="A41" s="299"/>
      <c r="B41" s="300"/>
    </row>
    <row r="42" spans="1:2" x14ac:dyDescent="0.25">
      <c r="A42" s="299"/>
      <c r="B42" s="300"/>
    </row>
    <row r="43" spans="1:2" x14ac:dyDescent="0.25">
      <c r="A43" s="299"/>
      <c r="B43" s="300"/>
    </row>
    <row r="44" spans="1:2" x14ac:dyDescent="0.25">
      <c r="A44" s="299"/>
      <c r="B44" s="300"/>
    </row>
    <row r="45" spans="1:2" x14ac:dyDescent="0.25">
      <c r="A45" s="299"/>
      <c r="B45" s="300"/>
    </row>
    <row r="46" spans="1:2" x14ac:dyDescent="0.25">
      <c r="A46" s="299"/>
      <c r="B46" s="300"/>
    </row>
    <row r="47" spans="1:2" x14ac:dyDescent="0.25">
      <c r="A47" s="299"/>
      <c r="B47" s="300"/>
    </row>
    <row r="48" spans="1:2" x14ac:dyDescent="0.25">
      <c r="A48" s="299"/>
      <c r="B48" s="300"/>
    </row>
    <row r="49" spans="1:2" x14ac:dyDescent="0.25">
      <c r="A49" s="299"/>
      <c r="B49" s="300"/>
    </row>
    <row r="50" spans="1:2" x14ac:dyDescent="0.25">
      <c r="A50" s="299"/>
      <c r="B50" s="300"/>
    </row>
    <row r="51" spans="1:2" x14ac:dyDescent="0.25">
      <c r="A51" s="299"/>
      <c r="B51" s="300"/>
    </row>
    <row r="52" spans="1:2" x14ac:dyDescent="0.25">
      <c r="A52" s="299"/>
      <c r="B52" s="300"/>
    </row>
    <row r="53" spans="1:2" x14ac:dyDescent="0.25">
      <c r="A53" s="299"/>
      <c r="B53" s="300"/>
    </row>
    <row r="54" spans="1:2" x14ac:dyDescent="0.25">
      <c r="A54" s="299"/>
      <c r="B54" s="300"/>
    </row>
    <row r="55" spans="1:2" x14ac:dyDescent="0.25">
      <c r="A55" s="299"/>
      <c r="B55" s="300"/>
    </row>
    <row r="56" spans="1:2" x14ac:dyDescent="0.25">
      <c r="A56" s="299"/>
      <c r="B56" s="300"/>
    </row>
    <row r="57" spans="1:2" x14ac:dyDescent="0.25">
      <c r="A57" s="299"/>
      <c r="B57" s="300"/>
    </row>
    <row r="58" spans="1:2" x14ac:dyDescent="0.25">
      <c r="A58" s="299"/>
      <c r="B58" s="300"/>
    </row>
    <row r="59" spans="1:2" x14ac:dyDescent="0.25">
      <c r="A59" s="299"/>
      <c r="B59" s="300"/>
    </row>
    <row r="60" spans="1:2" x14ac:dyDescent="0.25">
      <c r="A60" s="299"/>
      <c r="B60" s="300"/>
    </row>
    <row r="61" spans="1:2" x14ac:dyDescent="0.25">
      <c r="A61" s="299"/>
      <c r="B61" s="300"/>
    </row>
    <row r="62" spans="1:2" x14ac:dyDescent="0.25">
      <c r="A62" s="299"/>
      <c r="B62" s="300"/>
    </row>
    <row r="63" spans="1:2" x14ac:dyDescent="0.25">
      <c r="A63" s="299"/>
      <c r="B63" s="300"/>
    </row>
    <row r="64" spans="1:2" x14ac:dyDescent="0.25">
      <c r="A64" s="299"/>
      <c r="B64" s="300"/>
    </row>
    <row r="65" spans="1:2" x14ac:dyDescent="0.25">
      <c r="A65" s="299"/>
      <c r="B65" s="300"/>
    </row>
    <row r="66" spans="1:2" x14ac:dyDescent="0.25">
      <c r="A66" s="299"/>
      <c r="B66" s="300"/>
    </row>
    <row r="67" spans="1:2" x14ac:dyDescent="0.25">
      <c r="A67" s="299"/>
      <c r="B67" s="300"/>
    </row>
    <row r="68" spans="1:2" x14ac:dyDescent="0.25">
      <c r="A68" s="299"/>
      <c r="B68" s="300"/>
    </row>
    <row r="69" spans="1:2" x14ac:dyDescent="0.25">
      <c r="A69" s="299"/>
      <c r="B69" s="300"/>
    </row>
    <row r="70" spans="1:2" x14ac:dyDescent="0.25">
      <c r="A70" s="299"/>
      <c r="B70" s="300"/>
    </row>
    <row r="71" spans="1:2" x14ac:dyDescent="0.25">
      <c r="A71" s="299"/>
      <c r="B71" s="300"/>
    </row>
    <row r="72" spans="1:2" x14ac:dyDescent="0.25">
      <c r="A72" s="299"/>
      <c r="B72" s="300"/>
    </row>
    <row r="73" spans="1:2" x14ac:dyDescent="0.25">
      <c r="A73" s="299"/>
      <c r="B73" s="300"/>
    </row>
    <row r="74" spans="1:2" x14ac:dyDescent="0.25">
      <c r="A74" s="299"/>
      <c r="B74" s="300"/>
    </row>
    <row r="75" spans="1:2" x14ac:dyDescent="0.25">
      <c r="A75" s="299"/>
      <c r="B75" s="300"/>
    </row>
    <row r="76" spans="1:2" x14ac:dyDescent="0.25">
      <c r="A76" s="299"/>
      <c r="B76" s="300"/>
    </row>
    <row r="77" spans="1:2" x14ac:dyDescent="0.25">
      <c r="A77" s="299"/>
      <c r="B77" s="300"/>
    </row>
    <row r="78" spans="1:2" x14ac:dyDescent="0.25">
      <c r="A78" s="299"/>
      <c r="B78" s="300"/>
    </row>
    <row r="79" spans="1:2" x14ac:dyDescent="0.25">
      <c r="A79" s="299"/>
      <c r="B79" s="300"/>
    </row>
    <row r="80" spans="1:2" x14ac:dyDescent="0.25">
      <c r="A80" s="299"/>
      <c r="B80" s="300"/>
    </row>
    <row r="81" spans="1:2" x14ac:dyDescent="0.25">
      <c r="A81" s="299"/>
      <c r="B81" s="300"/>
    </row>
    <row r="82" spans="1:2" x14ac:dyDescent="0.25">
      <c r="A82" s="299"/>
      <c r="B82" s="300"/>
    </row>
    <row r="83" spans="1:2" x14ac:dyDescent="0.25">
      <c r="A83" s="299"/>
      <c r="B83" s="300"/>
    </row>
    <row r="84" spans="1:2" x14ac:dyDescent="0.25">
      <c r="A84" s="299"/>
      <c r="B84" s="300"/>
    </row>
    <row r="85" spans="1:2" x14ac:dyDescent="0.25">
      <c r="A85" s="299"/>
      <c r="B85" s="300"/>
    </row>
    <row r="86" spans="1:2" x14ac:dyDescent="0.25">
      <c r="A86" s="299"/>
      <c r="B86" s="300"/>
    </row>
    <row r="87" spans="1:2" x14ac:dyDescent="0.25">
      <c r="A87" s="299"/>
      <c r="B87" s="300"/>
    </row>
    <row r="88" spans="1:2" x14ac:dyDescent="0.25">
      <c r="A88" s="299"/>
      <c r="B88" s="300"/>
    </row>
    <row r="89" spans="1:2" x14ac:dyDescent="0.25">
      <c r="A89" s="299"/>
      <c r="B89" s="300"/>
    </row>
    <row r="90" spans="1:2" x14ac:dyDescent="0.25">
      <c r="A90" s="299"/>
      <c r="B90" s="300"/>
    </row>
    <row r="91" spans="1:2" x14ac:dyDescent="0.25">
      <c r="A91" s="299"/>
      <c r="B91" s="300"/>
    </row>
    <row r="92" spans="1:2" x14ac:dyDescent="0.25">
      <c r="A92" s="299"/>
      <c r="B92" s="300"/>
    </row>
    <row r="93" spans="1:2" x14ac:dyDescent="0.25">
      <c r="A93" s="299"/>
      <c r="B93" s="300"/>
    </row>
    <row r="94" spans="1:2" x14ac:dyDescent="0.25">
      <c r="A94" s="299"/>
      <c r="B94" s="300"/>
    </row>
    <row r="95" spans="1:2" x14ac:dyDescent="0.25">
      <c r="A95" s="299"/>
      <c r="B95" s="300"/>
    </row>
    <row r="96" spans="1:2" x14ac:dyDescent="0.25">
      <c r="A96" s="299"/>
      <c r="B96" s="300"/>
    </row>
    <row r="97" spans="1:2" x14ac:dyDescent="0.25">
      <c r="A97" s="299"/>
      <c r="B97" s="300"/>
    </row>
    <row r="98" spans="1:2" x14ac:dyDescent="0.25">
      <c r="A98" s="299"/>
      <c r="B98" s="300"/>
    </row>
    <row r="99" spans="1:2" x14ac:dyDescent="0.25">
      <c r="A99" s="299"/>
      <c r="B99" s="300"/>
    </row>
    <row r="100" spans="1:2" x14ac:dyDescent="0.25">
      <c r="A100" s="299"/>
      <c r="B100" s="300"/>
    </row>
    <row r="101" spans="1:2" x14ac:dyDescent="0.25">
      <c r="A101" s="299"/>
      <c r="B101" s="300"/>
    </row>
    <row r="102" spans="1:2" x14ac:dyDescent="0.25">
      <c r="A102" s="299"/>
      <c r="B102" s="300"/>
    </row>
    <row r="103" spans="1:2" x14ac:dyDescent="0.25">
      <c r="A103" s="299"/>
      <c r="B103" s="300"/>
    </row>
    <row r="104" spans="1:2" x14ac:dyDescent="0.25">
      <c r="A104" s="299"/>
      <c r="B104" s="300"/>
    </row>
    <row r="105" spans="1:2" x14ac:dyDescent="0.25">
      <c r="A105" s="299"/>
      <c r="B105" s="300"/>
    </row>
    <row r="106" spans="1:2" x14ac:dyDescent="0.25">
      <c r="A106" s="299"/>
      <c r="B106" s="300"/>
    </row>
    <row r="107" spans="1:2" x14ac:dyDescent="0.25">
      <c r="A107" s="299"/>
      <c r="B107" s="300"/>
    </row>
    <row r="108" spans="1:2" x14ac:dyDescent="0.25">
      <c r="A108" s="299"/>
      <c r="B108" s="300"/>
    </row>
    <row r="109" spans="1:2" x14ac:dyDescent="0.25">
      <c r="A109" s="299"/>
      <c r="B109" s="300"/>
    </row>
    <row r="110" spans="1:2" x14ac:dyDescent="0.25">
      <c r="A110" s="299"/>
      <c r="B110" s="300"/>
    </row>
    <row r="111" spans="1:2" x14ac:dyDescent="0.25">
      <c r="A111" s="299"/>
      <c r="B111" s="300"/>
    </row>
    <row r="112" spans="1:2" x14ac:dyDescent="0.25">
      <c r="A112" s="299"/>
      <c r="B112" s="300"/>
    </row>
    <row r="113" spans="1:2" x14ac:dyDescent="0.25">
      <c r="A113" s="299"/>
      <c r="B113" s="300"/>
    </row>
    <row r="114" spans="1:2" x14ac:dyDescent="0.25">
      <c r="A114" s="299"/>
      <c r="B114" s="300"/>
    </row>
    <row r="115" spans="1:2" x14ac:dyDescent="0.25">
      <c r="A115" s="299"/>
      <c r="B115" s="300"/>
    </row>
    <row r="116" spans="1:2" x14ac:dyDescent="0.25">
      <c r="A116" s="299"/>
      <c r="B116" s="300"/>
    </row>
    <row r="117" spans="1:2" x14ac:dyDescent="0.25">
      <c r="A117" s="299"/>
      <c r="B117" s="300"/>
    </row>
    <row r="118" spans="1:2" x14ac:dyDescent="0.25">
      <c r="A118" s="299"/>
      <c r="B118" s="300"/>
    </row>
    <row r="119" spans="1:2" x14ac:dyDescent="0.25">
      <c r="A119" s="299"/>
      <c r="B119" s="300"/>
    </row>
    <row r="120" spans="1:2" x14ac:dyDescent="0.25">
      <c r="A120" s="299"/>
      <c r="B120" s="300"/>
    </row>
    <row r="121" spans="1:2" x14ac:dyDescent="0.25">
      <c r="A121" s="299"/>
      <c r="B121" s="300"/>
    </row>
    <row r="122" spans="1:2" x14ac:dyDescent="0.25">
      <c r="A122" s="299"/>
      <c r="B122" s="300"/>
    </row>
    <row r="123" spans="1:2" x14ac:dyDescent="0.25">
      <c r="A123" s="299"/>
      <c r="B123" s="300"/>
    </row>
    <row r="124" spans="1:2" x14ac:dyDescent="0.25">
      <c r="A124" s="299"/>
      <c r="B124" s="300"/>
    </row>
    <row r="125" spans="1:2" x14ac:dyDescent="0.25">
      <c r="A125" s="299"/>
      <c r="B125" s="300"/>
    </row>
    <row r="126" spans="1:2" x14ac:dyDescent="0.25">
      <c r="A126" s="299"/>
      <c r="B126" s="300"/>
    </row>
    <row r="127" spans="1:2" x14ac:dyDescent="0.25">
      <c r="A127" s="299"/>
      <c r="B127" s="300"/>
    </row>
    <row r="128" spans="1:2" x14ac:dyDescent="0.25">
      <c r="A128" s="299"/>
      <c r="B128" s="300"/>
    </row>
    <row r="129" spans="1:2" x14ac:dyDescent="0.25">
      <c r="A129" s="299"/>
      <c r="B129" s="300"/>
    </row>
    <row r="130" spans="1:2" x14ac:dyDescent="0.25">
      <c r="A130" s="299"/>
      <c r="B130" s="300"/>
    </row>
    <row r="131" spans="1:2" x14ac:dyDescent="0.25">
      <c r="A131" s="299"/>
      <c r="B131" s="300"/>
    </row>
    <row r="132" spans="1:2" x14ac:dyDescent="0.25">
      <c r="A132" s="299"/>
      <c r="B132" s="300"/>
    </row>
    <row r="133" spans="1:2" x14ac:dyDescent="0.25">
      <c r="A133" s="299"/>
      <c r="B133" s="300"/>
    </row>
    <row r="134" spans="1:2" x14ac:dyDescent="0.25">
      <c r="A134" s="299"/>
      <c r="B134" s="300"/>
    </row>
    <row r="135" spans="1:2" x14ac:dyDescent="0.25">
      <c r="A135" s="299"/>
      <c r="B135" s="300"/>
    </row>
    <row r="136" spans="1:2" x14ac:dyDescent="0.25">
      <c r="A136" s="299"/>
      <c r="B136" s="300"/>
    </row>
    <row r="137" spans="1:2" x14ac:dyDescent="0.25">
      <c r="A137" s="299"/>
      <c r="B137" s="300"/>
    </row>
    <row r="138" spans="1:2" x14ac:dyDescent="0.25">
      <c r="A138" s="299"/>
      <c r="B138" s="300"/>
    </row>
    <row r="139" spans="1:2" x14ac:dyDescent="0.25">
      <c r="A139" s="299"/>
      <c r="B139" s="300"/>
    </row>
    <row r="140" spans="1:2" x14ac:dyDescent="0.25">
      <c r="A140" s="299"/>
      <c r="B140" s="300"/>
    </row>
    <row r="141" spans="1:2" x14ac:dyDescent="0.25">
      <c r="A141" s="299"/>
      <c r="B141" s="300"/>
    </row>
    <row r="142" spans="1:2" x14ac:dyDescent="0.25">
      <c r="A142" s="299"/>
      <c r="B142" s="300"/>
    </row>
    <row r="143" spans="1:2" x14ac:dyDescent="0.25">
      <c r="A143" s="299"/>
      <c r="B143" s="300"/>
    </row>
    <row r="144" spans="1:2" x14ac:dyDescent="0.25">
      <c r="A144" s="299"/>
      <c r="B144" s="300"/>
    </row>
    <row r="145" spans="1:2" x14ac:dyDescent="0.25">
      <c r="A145" s="299"/>
      <c r="B145" s="300"/>
    </row>
    <row r="146" spans="1:2" x14ac:dyDescent="0.25">
      <c r="A146" s="299"/>
      <c r="B146" s="300"/>
    </row>
    <row r="147" spans="1:2" x14ac:dyDescent="0.25">
      <c r="A147" s="299"/>
      <c r="B147" s="300"/>
    </row>
    <row r="148" spans="1:2" x14ac:dyDescent="0.25">
      <c r="A148" s="299"/>
      <c r="B148" s="300"/>
    </row>
    <row r="149" spans="1:2" x14ac:dyDescent="0.25">
      <c r="A149" s="299"/>
      <c r="B149" s="300"/>
    </row>
    <row r="150" spans="1:2" x14ac:dyDescent="0.25">
      <c r="A150" s="299"/>
      <c r="B150" s="300"/>
    </row>
    <row r="151" spans="1:2" x14ac:dyDescent="0.25">
      <c r="A151" s="299"/>
      <c r="B151" s="300"/>
    </row>
    <row r="152" spans="1:2" x14ac:dyDescent="0.25">
      <c r="A152" s="299"/>
      <c r="B152" s="300"/>
    </row>
    <row r="153" spans="1:2" x14ac:dyDescent="0.25">
      <c r="A153" s="299"/>
      <c r="B153" s="300"/>
    </row>
    <row r="154" spans="1:2" x14ac:dyDescent="0.25">
      <c r="A154" s="299"/>
      <c r="B154" s="300"/>
    </row>
    <row r="155" spans="1:2" x14ac:dyDescent="0.25">
      <c r="A155" s="299"/>
      <c r="B155" s="300"/>
    </row>
    <row r="156" spans="1:2" x14ac:dyDescent="0.25">
      <c r="A156" s="299"/>
      <c r="B156" s="300"/>
    </row>
    <row r="157" spans="1:2" x14ac:dyDescent="0.25">
      <c r="A157" s="299"/>
      <c r="B157" s="300"/>
    </row>
    <row r="158" spans="1:2" x14ac:dyDescent="0.25">
      <c r="A158" s="299"/>
      <c r="B158" s="300"/>
    </row>
    <row r="159" spans="1:2" x14ac:dyDescent="0.25">
      <c r="A159" s="299"/>
      <c r="B159" s="300"/>
    </row>
    <row r="160" spans="1:2" x14ac:dyDescent="0.25">
      <c r="A160" s="299"/>
      <c r="B160" s="300"/>
    </row>
    <row r="161" spans="1:2" x14ac:dyDescent="0.25">
      <c r="A161" s="299"/>
      <c r="B161" s="300"/>
    </row>
    <row r="162" spans="1:2" x14ac:dyDescent="0.25">
      <c r="A162" s="299"/>
      <c r="B162" s="300"/>
    </row>
    <row r="163" spans="1:2" x14ac:dyDescent="0.25">
      <c r="A163" s="299"/>
      <c r="B163" s="300"/>
    </row>
    <row r="164" spans="1:2" x14ac:dyDescent="0.25">
      <c r="A164" s="299"/>
      <c r="B164" s="300"/>
    </row>
    <row r="165" spans="1:2" x14ac:dyDescent="0.25">
      <c r="A165" s="299"/>
      <c r="B165" s="300"/>
    </row>
    <row r="166" spans="1:2" x14ac:dyDescent="0.25">
      <c r="A166" s="299"/>
      <c r="B166" s="300"/>
    </row>
    <row r="167" spans="1:2" x14ac:dyDescent="0.25">
      <c r="A167" s="299"/>
      <c r="B167" s="300"/>
    </row>
    <row r="168" spans="1:2" x14ac:dyDescent="0.25">
      <c r="A168" s="299"/>
      <c r="B168" s="300"/>
    </row>
    <row r="169" spans="1:2" x14ac:dyDescent="0.25">
      <c r="A169" s="299"/>
      <c r="B169" s="300"/>
    </row>
    <row r="170" spans="1:2" x14ac:dyDescent="0.25">
      <c r="A170" s="299"/>
      <c r="B170" s="300"/>
    </row>
    <row r="171" spans="1:2" x14ac:dyDescent="0.25">
      <c r="A171" s="299"/>
      <c r="B171" s="300"/>
    </row>
    <row r="172" spans="1:2" x14ac:dyDescent="0.25">
      <c r="A172" s="299"/>
      <c r="B172" s="300"/>
    </row>
    <row r="173" spans="1:2" x14ac:dyDescent="0.25">
      <c r="A173" s="299"/>
      <c r="B173" s="300"/>
    </row>
    <row r="174" spans="1:2" x14ac:dyDescent="0.25">
      <c r="A174" s="299"/>
      <c r="B174" s="300"/>
    </row>
    <row r="175" spans="1:2" x14ac:dyDescent="0.25">
      <c r="A175" s="299"/>
      <c r="B175" s="300"/>
    </row>
    <row r="176" spans="1:2" x14ac:dyDescent="0.25">
      <c r="A176" s="299"/>
      <c r="B176" s="300"/>
    </row>
    <row r="177" spans="1:2" x14ac:dyDescent="0.25">
      <c r="A177" s="299"/>
      <c r="B177" s="300"/>
    </row>
    <row r="178" spans="1:2" x14ac:dyDescent="0.25">
      <c r="A178" s="299"/>
      <c r="B178" s="300"/>
    </row>
    <row r="179" spans="1:2" x14ac:dyDescent="0.25">
      <c r="A179" s="299"/>
      <c r="B179" s="300"/>
    </row>
    <row r="180" spans="1:2" x14ac:dyDescent="0.25">
      <c r="A180" s="299"/>
      <c r="B180" s="300"/>
    </row>
    <row r="181" spans="1:2" x14ac:dyDescent="0.25">
      <c r="A181" s="299"/>
      <c r="B181" s="300"/>
    </row>
    <row r="182" spans="1:2" x14ac:dyDescent="0.25">
      <c r="A182" s="299"/>
      <c r="B182" s="300"/>
    </row>
    <row r="183" spans="1:2" x14ac:dyDescent="0.25">
      <c r="A183" s="299"/>
      <c r="B183" s="300"/>
    </row>
    <row r="184" spans="1:2" x14ac:dyDescent="0.25">
      <c r="A184" s="299"/>
      <c r="B184" s="300"/>
    </row>
    <row r="185" spans="1:2" x14ac:dyDescent="0.25">
      <c r="A185" s="299"/>
      <c r="B185" s="300"/>
    </row>
    <row r="186" spans="1:2" x14ac:dyDescent="0.25">
      <c r="A186" s="299"/>
      <c r="B186" s="300"/>
    </row>
    <row r="187" spans="1:2" x14ac:dyDescent="0.25">
      <c r="A187" s="299"/>
      <c r="B187" s="300"/>
    </row>
    <row r="188" spans="1:2" x14ac:dyDescent="0.25">
      <c r="A188" s="299"/>
      <c r="B188" s="300"/>
    </row>
    <row r="189" spans="1:2" x14ac:dyDescent="0.25">
      <c r="A189" s="299"/>
      <c r="B189" s="300"/>
    </row>
    <row r="190" spans="1:2" x14ac:dyDescent="0.25">
      <c r="A190" s="299"/>
      <c r="B190" s="300"/>
    </row>
    <row r="191" spans="1:2" x14ac:dyDescent="0.25">
      <c r="A191" s="299"/>
      <c r="B191" s="300"/>
    </row>
    <row r="192" spans="1:2" x14ac:dyDescent="0.25">
      <c r="A192" s="299"/>
      <c r="B192" s="300"/>
    </row>
    <row r="193" spans="1:2" x14ac:dyDescent="0.25">
      <c r="A193" s="299"/>
      <c r="B193" s="300"/>
    </row>
    <row r="194" spans="1:2" x14ac:dyDescent="0.25">
      <c r="A194" s="299"/>
      <c r="B194" s="300"/>
    </row>
    <row r="195" spans="1:2" x14ac:dyDescent="0.25">
      <c r="A195" s="299"/>
      <c r="B195" s="300"/>
    </row>
    <row r="196" spans="1:2" x14ac:dyDescent="0.25">
      <c r="A196" s="299"/>
      <c r="B196" s="300"/>
    </row>
    <row r="197" spans="1:2" x14ac:dyDescent="0.25">
      <c r="A197" s="299"/>
      <c r="B197" s="300"/>
    </row>
    <row r="198" spans="1:2" x14ac:dyDescent="0.25">
      <c r="A198" s="299"/>
      <c r="B198" s="300"/>
    </row>
    <row r="199" spans="1:2" x14ac:dyDescent="0.25">
      <c r="A199" s="299"/>
      <c r="B199" s="300"/>
    </row>
    <row r="200" spans="1:2" x14ac:dyDescent="0.25">
      <c r="A200" s="299"/>
      <c r="B200" s="300"/>
    </row>
    <row r="201" spans="1:2" x14ac:dyDescent="0.25">
      <c r="A201" s="299"/>
      <c r="B201" s="300"/>
    </row>
    <row r="202" spans="1:2" x14ac:dyDescent="0.25">
      <c r="A202" s="299"/>
      <c r="B202" s="300"/>
    </row>
    <row r="203" spans="1:2" x14ac:dyDescent="0.25">
      <c r="A203" s="299"/>
      <c r="B203" s="300"/>
    </row>
    <row r="204" spans="1:2" x14ac:dyDescent="0.25">
      <c r="A204" s="58"/>
      <c r="B204" s="58"/>
    </row>
    <row r="205" spans="1:2" x14ac:dyDescent="0.25">
      <c r="A205" s="58"/>
      <c r="B205" s="58"/>
    </row>
    <row r="206" spans="1:2" x14ac:dyDescent="0.25">
      <c r="A206" s="58"/>
      <c r="B206" s="58"/>
    </row>
    <row r="207" spans="1:2" x14ac:dyDescent="0.25">
      <c r="A207" s="58"/>
      <c r="B207" s="58"/>
    </row>
    <row r="208" spans="1:2" x14ac:dyDescent="0.25">
      <c r="A208" s="58"/>
      <c r="B208" s="58"/>
    </row>
    <row r="209" spans="1:2" x14ac:dyDescent="0.25">
      <c r="A209" s="58"/>
      <c r="B209" s="58"/>
    </row>
    <row r="210" spans="1:2" x14ac:dyDescent="0.25">
      <c r="A210" s="58"/>
      <c r="B210" s="58"/>
    </row>
    <row r="211" spans="1:2" x14ac:dyDescent="0.25">
      <c r="A211" s="58"/>
      <c r="B211" s="58"/>
    </row>
    <row r="212" spans="1:2" x14ac:dyDescent="0.25">
      <c r="A212" s="58"/>
      <c r="B212" s="58"/>
    </row>
    <row r="213" spans="1:2" x14ac:dyDescent="0.25">
      <c r="A213" s="58"/>
      <c r="B213" s="58"/>
    </row>
    <row r="214" spans="1:2" x14ac:dyDescent="0.25">
      <c r="A214" s="58"/>
      <c r="B214" s="58"/>
    </row>
    <row r="215" spans="1:2" x14ac:dyDescent="0.25">
      <c r="A215" s="58"/>
      <c r="B215" s="58"/>
    </row>
    <row r="216" spans="1:2" x14ac:dyDescent="0.25">
      <c r="A216" s="58"/>
      <c r="B216" s="58"/>
    </row>
    <row r="217" spans="1:2" x14ac:dyDescent="0.25">
      <c r="A217" s="58"/>
      <c r="B217" s="58"/>
    </row>
    <row r="218" spans="1:2" x14ac:dyDescent="0.25">
      <c r="A218" s="58"/>
      <c r="B218" s="58"/>
    </row>
    <row r="219" spans="1:2" x14ac:dyDescent="0.25">
      <c r="A219" s="58"/>
      <c r="B219" s="58"/>
    </row>
    <row r="220" spans="1:2" x14ac:dyDescent="0.25">
      <c r="A220" s="58"/>
      <c r="B220" s="58"/>
    </row>
    <row r="221" spans="1:2" x14ac:dyDescent="0.25">
      <c r="A221" s="58"/>
      <c r="B221" s="58"/>
    </row>
    <row r="222" spans="1:2" x14ac:dyDescent="0.25">
      <c r="A222" s="58"/>
      <c r="B222" s="58"/>
    </row>
    <row r="223" spans="1:2" x14ac:dyDescent="0.25">
      <c r="A223" s="58"/>
      <c r="B223" s="58"/>
    </row>
    <row r="224" spans="1:2" x14ac:dyDescent="0.25">
      <c r="A224" s="58"/>
      <c r="B224" s="58"/>
    </row>
    <row r="225" spans="1:2" x14ac:dyDescent="0.25">
      <c r="A225" s="58"/>
      <c r="B225" s="58"/>
    </row>
    <row r="226" spans="1:2" x14ac:dyDescent="0.25">
      <c r="A226" s="58"/>
      <c r="B226" s="58"/>
    </row>
    <row r="227" spans="1:2" x14ac:dyDescent="0.25">
      <c r="A227" s="58"/>
      <c r="B227" s="58"/>
    </row>
    <row r="228" spans="1:2" x14ac:dyDescent="0.25">
      <c r="A228" s="58"/>
      <c r="B228" s="58"/>
    </row>
    <row r="229" spans="1:2" x14ac:dyDescent="0.25">
      <c r="A229" s="58"/>
      <c r="B229" s="58"/>
    </row>
    <row r="230" spans="1:2" x14ac:dyDescent="0.25">
      <c r="A230" s="58"/>
      <c r="B230" s="58"/>
    </row>
    <row r="231" spans="1:2" x14ac:dyDescent="0.25">
      <c r="A231" s="58"/>
      <c r="B231" s="58"/>
    </row>
    <row r="232" spans="1:2" x14ac:dyDescent="0.25">
      <c r="A232" s="58"/>
      <c r="B232" s="58"/>
    </row>
    <row r="233" spans="1:2" x14ac:dyDescent="0.25">
      <c r="A233" s="58"/>
      <c r="B233" s="58"/>
    </row>
    <row r="234" spans="1:2" x14ac:dyDescent="0.25">
      <c r="A234" s="58"/>
      <c r="B234" s="58"/>
    </row>
    <row r="235" spans="1:2" x14ac:dyDescent="0.25">
      <c r="A235" s="58"/>
      <c r="B235" s="58"/>
    </row>
    <row r="236" spans="1:2" x14ac:dyDescent="0.25">
      <c r="A236" s="58"/>
      <c r="B236" s="58"/>
    </row>
    <row r="237" spans="1:2" x14ac:dyDescent="0.25">
      <c r="A237" s="58"/>
      <c r="B237" s="58"/>
    </row>
    <row r="238" spans="1:2" x14ac:dyDescent="0.25">
      <c r="A238" s="58"/>
      <c r="B238" s="58"/>
    </row>
    <row r="239" spans="1:2" x14ac:dyDescent="0.25">
      <c r="A239" s="58"/>
      <c r="B239" s="58"/>
    </row>
    <row r="240" spans="1:2" x14ac:dyDescent="0.25">
      <c r="A240" s="58"/>
      <c r="B240" s="58"/>
    </row>
    <row r="241" spans="1:2" x14ac:dyDescent="0.25">
      <c r="A241" s="58"/>
      <c r="B241" s="58"/>
    </row>
    <row r="242" spans="1:2" x14ac:dyDescent="0.25">
      <c r="A242" s="58"/>
      <c r="B242" s="58"/>
    </row>
    <row r="243" spans="1:2" x14ac:dyDescent="0.25">
      <c r="A243" s="58"/>
      <c r="B243" s="58"/>
    </row>
    <row r="244" spans="1:2" x14ac:dyDescent="0.25">
      <c r="A244" s="58"/>
      <c r="B244" s="58"/>
    </row>
    <row r="245" spans="1:2" x14ac:dyDescent="0.25">
      <c r="A245" s="58"/>
      <c r="B245" s="58"/>
    </row>
    <row r="246" spans="1:2" x14ac:dyDescent="0.25">
      <c r="A246" s="58"/>
      <c r="B246" s="58"/>
    </row>
    <row r="247" spans="1:2" x14ac:dyDescent="0.25">
      <c r="A247" s="58"/>
      <c r="B247" s="58"/>
    </row>
    <row r="248" spans="1:2" x14ac:dyDescent="0.25">
      <c r="A248" s="58"/>
      <c r="B248" s="58"/>
    </row>
    <row r="249" spans="1:2" x14ac:dyDescent="0.25">
      <c r="A249" s="58"/>
      <c r="B249" s="58"/>
    </row>
    <row r="250" spans="1:2" x14ac:dyDescent="0.25">
      <c r="A250" s="58"/>
      <c r="B250" s="58"/>
    </row>
    <row r="251" spans="1:2" x14ac:dyDescent="0.25">
      <c r="A251" s="58"/>
      <c r="B251" s="58"/>
    </row>
    <row r="252" spans="1:2" x14ac:dyDescent="0.25">
      <c r="A252" s="58"/>
      <c r="B252" s="58"/>
    </row>
    <row r="253" spans="1:2" x14ac:dyDescent="0.25">
      <c r="A253" s="58"/>
      <c r="B253" s="58"/>
    </row>
    <row r="254" spans="1:2" x14ac:dyDescent="0.25">
      <c r="A254" s="58"/>
      <c r="B254" s="58"/>
    </row>
    <row r="255" spans="1:2" x14ac:dyDescent="0.25">
      <c r="A255" s="58"/>
      <c r="B255" s="58"/>
    </row>
    <row r="256" spans="1:2" x14ac:dyDescent="0.25">
      <c r="A256" s="58"/>
      <c r="B256" s="58"/>
    </row>
    <row r="257" spans="1:2" x14ac:dyDescent="0.25">
      <c r="A257" s="58"/>
      <c r="B257" s="58"/>
    </row>
    <row r="258" spans="1:2" x14ac:dyDescent="0.25">
      <c r="A258" s="58"/>
      <c r="B258" s="58"/>
    </row>
    <row r="259" spans="1:2" x14ac:dyDescent="0.25">
      <c r="A259" s="58"/>
      <c r="B259" s="58"/>
    </row>
    <row r="260" spans="1:2" x14ac:dyDescent="0.25">
      <c r="A260" s="58"/>
      <c r="B260" s="58"/>
    </row>
    <row r="261" spans="1:2" x14ac:dyDescent="0.25">
      <c r="A261" s="58"/>
      <c r="B261" s="58"/>
    </row>
    <row r="262" spans="1:2" x14ac:dyDescent="0.25">
      <c r="A262" s="58"/>
      <c r="B262" s="58"/>
    </row>
    <row r="263" spans="1:2" x14ac:dyDescent="0.25">
      <c r="A263" s="58"/>
      <c r="B263" s="58"/>
    </row>
    <row r="264" spans="1:2" x14ac:dyDescent="0.25">
      <c r="A264" s="58"/>
      <c r="B264" s="58"/>
    </row>
    <row r="265" spans="1:2" x14ac:dyDescent="0.25">
      <c r="A265" s="58"/>
      <c r="B265" s="58"/>
    </row>
    <row r="266" spans="1:2" x14ac:dyDescent="0.25">
      <c r="A266" s="58"/>
      <c r="B266" s="58"/>
    </row>
    <row r="267" spans="1:2" x14ac:dyDescent="0.25">
      <c r="A267" s="58"/>
      <c r="B267" s="58"/>
    </row>
    <row r="268" spans="1:2" x14ac:dyDescent="0.25">
      <c r="A268" s="58"/>
      <c r="B268" s="58"/>
    </row>
    <row r="269" spans="1:2" x14ac:dyDescent="0.25">
      <c r="A269" s="58"/>
      <c r="B269" s="58"/>
    </row>
    <row r="270" spans="1:2" x14ac:dyDescent="0.25">
      <c r="A270" s="58"/>
      <c r="B270" s="58"/>
    </row>
    <row r="271" spans="1:2" x14ac:dyDescent="0.25">
      <c r="A271" s="58"/>
      <c r="B271" s="58"/>
    </row>
    <row r="272" spans="1:2" x14ac:dyDescent="0.25">
      <c r="A272" s="58"/>
      <c r="B272" s="58"/>
    </row>
    <row r="273" spans="1:2" x14ac:dyDescent="0.25">
      <c r="A273" s="58"/>
      <c r="B273" s="58"/>
    </row>
    <row r="274" spans="1:2" x14ac:dyDescent="0.25">
      <c r="A274" s="58"/>
      <c r="B274" s="58"/>
    </row>
    <row r="275" spans="1:2" x14ac:dyDescent="0.25">
      <c r="A275" s="58"/>
      <c r="B275" s="58"/>
    </row>
    <row r="276" spans="1:2" x14ac:dyDescent="0.25">
      <c r="A276" s="58"/>
      <c r="B276" s="58"/>
    </row>
    <row r="277" spans="1:2" x14ac:dyDescent="0.25">
      <c r="A277" s="58"/>
      <c r="B277" s="58"/>
    </row>
    <row r="278" spans="1:2" x14ac:dyDescent="0.25">
      <c r="A278" s="58"/>
      <c r="B278" s="58"/>
    </row>
    <row r="279" spans="1:2" x14ac:dyDescent="0.25">
      <c r="A279" s="58"/>
      <c r="B279" s="58"/>
    </row>
    <row r="280" spans="1:2" x14ac:dyDescent="0.25">
      <c r="A280" s="58"/>
      <c r="B280" s="58"/>
    </row>
    <row r="281" spans="1:2" x14ac:dyDescent="0.25">
      <c r="A281" s="58"/>
      <c r="B281" s="58"/>
    </row>
    <row r="282" spans="1:2" x14ac:dyDescent="0.25">
      <c r="A282" s="58"/>
      <c r="B282" s="58"/>
    </row>
    <row r="283" spans="1:2" x14ac:dyDescent="0.25">
      <c r="A283" s="58"/>
      <c r="B283" s="58"/>
    </row>
    <row r="284" spans="1:2" x14ac:dyDescent="0.25">
      <c r="A284" s="58"/>
      <c r="B284" s="58"/>
    </row>
    <row r="285" spans="1:2" x14ac:dyDescent="0.25">
      <c r="A285" s="58"/>
      <c r="B285" s="58"/>
    </row>
    <row r="286" spans="1:2" x14ac:dyDescent="0.25">
      <c r="A286" s="58"/>
      <c r="B286" s="58"/>
    </row>
    <row r="287" spans="1:2" x14ac:dyDescent="0.25">
      <c r="A287" s="58"/>
      <c r="B287" s="58"/>
    </row>
    <row r="288" spans="1:2" x14ac:dyDescent="0.25">
      <c r="A288" s="58"/>
      <c r="B288" s="58"/>
    </row>
    <row r="289" spans="1:2" x14ac:dyDescent="0.25">
      <c r="A289" s="58"/>
      <c r="B289" s="58"/>
    </row>
    <row r="290" spans="1:2" x14ac:dyDescent="0.25">
      <c r="A290" s="58"/>
      <c r="B290" s="58"/>
    </row>
    <row r="291" spans="1:2" x14ac:dyDescent="0.25">
      <c r="A291" s="58"/>
      <c r="B291" s="58"/>
    </row>
    <row r="292" spans="1:2" x14ac:dyDescent="0.25">
      <c r="A292" s="58"/>
      <c r="B292" s="58"/>
    </row>
    <row r="293" spans="1:2" x14ac:dyDescent="0.25">
      <c r="A293" s="58"/>
      <c r="B293" s="58"/>
    </row>
    <row r="294" spans="1:2" x14ac:dyDescent="0.25">
      <c r="A294" s="58"/>
      <c r="B294" s="58"/>
    </row>
    <row r="295" spans="1:2" x14ac:dyDescent="0.25">
      <c r="A295" s="58"/>
      <c r="B295" s="58"/>
    </row>
    <row r="296" spans="1:2" x14ac:dyDescent="0.25">
      <c r="A296" s="58"/>
      <c r="B296" s="58"/>
    </row>
    <row r="297" spans="1:2" x14ac:dyDescent="0.25">
      <c r="A297" s="58"/>
      <c r="B297" s="58"/>
    </row>
    <row r="298" spans="1:2" x14ac:dyDescent="0.25">
      <c r="A298" s="58"/>
      <c r="B298" s="58"/>
    </row>
    <row r="299" spans="1:2" x14ac:dyDescent="0.25">
      <c r="A299" s="58"/>
      <c r="B299" s="58"/>
    </row>
    <row r="300" spans="1:2" x14ac:dyDescent="0.25">
      <c r="A300" s="58"/>
      <c r="B300" s="58"/>
    </row>
    <row r="301" spans="1:2" x14ac:dyDescent="0.25">
      <c r="A301" s="58"/>
      <c r="B301" s="58"/>
    </row>
    <row r="302" spans="1:2" x14ac:dyDescent="0.25">
      <c r="A302" s="58"/>
      <c r="B302" s="58"/>
    </row>
    <row r="303" spans="1:2" x14ac:dyDescent="0.25">
      <c r="A303" s="58"/>
      <c r="B303" s="58"/>
    </row>
    <row r="304" spans="1:2" x14ac:dyDescent="0.25">
      <c r="A304" s="58"/>
      <c r="B304" s="58"/>
    </row>
    <row r="305" spans="1:2" x14ac:dyDescent="0.25">
      <c r="A305" s="58"/>
      <c r="B305" s="58"/>
    </row>
    <row r="306" spans="1:2" x14ac:dyDescent="0.25">
      <c r="A306" s="58"/>
      <c r="B306" s="58"/>
    </row>
    <row r="307" spans="1:2" x14ac:dyDescent="0.25">
      <c r="A307" s="58"/>
      <c r="B307" s="58"/>
    </row>
    <row r="308" spans="1:2" x14ac:dyDescent="0.25">
      <c r="A308" s="58"/>
      <c r="B308" s="58"/>
    </row>
    <row r="309" spans="1:2" x14ac:dyDescent="0.25">
      <c r="A309" s="58"/>
      <c r="B309" s="58"/>
    </row>
    <row r="310" spans="1:2" x14ac:dyDescent="0.25">
      <c r="A310" s="58"/>
      <c r="B310" s="58"/>
    </row>
    <row r="311" spans="1:2" x14ac:dyDescent="0.25">
      <c r="A311" s="58"/>
      <c r="B311" s="58"/>
    </row>
    <row r="312" spans="1:2" x14ac:dyDescent="0.25">
      <c r="A312" s="58"/>
      <c r="B312" s="58"/>
    </row>
    <row r="313" spans="1:2" x14ac:dyDescent="0.25">
      <c r="A313" s="58"/>
      <c r="B313" s="58"/>
    </row>
    <row r="314" spans="1:2" x14ac:dyDescent="0.25">
      <c r="A314" s="58"/>
      <c r="B314" s="58"/>
    </row>
    <row r="315" spans="1:2" x14ac:dyDescent="0.25">
      <c r="A315" s="58"/>
      <c r="B315" s="58"/>
    </row>
    <row r="316" spans="1:2" x14ac:dyDescent="0.25">
      <c r="A316" s="58"/>
      <c r="B316" s="58"/>
    </row>
    <row r="317" spans="1:2" x14ac:dyDescent="0.25">
      <c r="A317" s="58"/>
      <c r="B317" s="58"/>
    </row>
    <row r="318" spans="1:2" x14ac:dyDescent="0.25">
      <c r="A318" s="58"/>
      <c r="B318" s="58"/>
    </row>
    <row r="319" spans="1:2" x14ac:dyDescent="0.25">
      <c r="A319" s="58"/>
      <c r="B319" s="58"/>
    </row>
    <row r="320" spans="1:2" x14ac:dyDescent="0.25">
      <c r="A320" s="58"/>
      <c r="B320" s="58"/>
    </row>
    <row r="321" spans="1:2" x14ac:dyDescent="0.25">
      <c r="A321" s="58"/>
      <c r="B321" s="58"/>
    </row>
    <row r="322" spans="1:2" x14ac:dyDescent="0.25">
      <c r="A322" s="58"/>
      <c r="B322" s="58"/>
    </row>
    <row r="323" spans="1:2" x14ac:dyDescent="0.25">
      <c r="A323" s="58"/>
      <c r="B323" s="58"/>
    </row>
    <row r="324" spans="1:2" x14ac:dyDescent="0.25">
      <c r="A324" s="58"/>
      <c r="B324" s="58"/>
    </row>
    <row r="325" spans="1:2" x14ac:dyDescent="0.25">
      <c r="A325" s="58"/>
      <c r="B325" s="58"/>
    </row>
    <row r="326" spans="1:2" x14ac:dyDescent="0.25">
      <c r="A326" s="58"/>
      <c r="B326" s="58"/>
    </row>
    <row r="327" spans="1:2" x14ac:dyDescent="0.25">
      <c r="A327" s="58"/>
      <c r="B327" s="58"/>
    </row>
    <row r="328" spans="1:2" x14ac:dyDescent="0.25">
      <c r="A328" s="58"/>
      <c r="B328" s="58"/>
    </row>
    <row r="329" spans="1:2" x14ac:dyDescent="0.25">
      <c r="A329" s="58"/>
      <c r="B329" s="58"/>
    </row>
    <row r="330" spans="1:2" x14ac:dyDescent="0.25">
      <c r="A330" s="58"/>
      <c r="B330" s="58"/>
    </row>
    <row r="331" spans="1:2" x14ac:dyDescent="0.25">
      <c r="A331" s="58"/>
      <c r="B331" s="58"/>
    </row>
    <row r="332" spans="1:2" x14ac:dyDescent="0.25">
      <c r="A332" s="58"/>
      <c r="B332" s="58"/>
    </row>
    <row r="333" spans="1:2" x14ac:dyDescent="0.25">
      <c r="A333" s="58"/>
      <c r="B333" s="58"/>
    </row>
    <row r="334" spans="1:2" x14ac:dyDescent="0.25">
      <c r="A334" s="58"/>
      <c r="B334" s="58"/>
    </row>
    <row r="335" spans="1:2" x14ac:dyDescent="0.25">
      <c r="A335" s="58"/>
      <c r="B335" s="58"/>
    </row>
    <row r="336" spans="1:2" x14ac:dyDescent="0.25">
      <c r="A336" s="58"/>
      <c r="B336" s="58"/>
    </row>
    <row r="337" spans="1:2" x14ac:dyDescent="0.25">
      <c r="A337" s="58"/>
      <c r="B337" s="58"/>
    </row>
    <row r="338" spans="1:2" x14ac:dyDescent="0.25">
      <c r="A338" s="58"/>
      <c r="B338" s="58"/>
    </row>
    <row r="339" spans="1:2" x14ac:dyDescent="0.25">
      <c r="A339" s="58"/>
      <c r="B339" s="58"/>
    </row>
    <row r="340" spans="1:2" x14ac:dyDescent="0.25">
      <c r="A340" s="58"/>
      <c r="B340" s="58"/>
    </row>
    <row r="341" spans="1:2" x14ac:dyDescent="0.25">
      <c r="A341" s="58"/>
      <c r="B341" s="58"/>
    </row>
    <row r="342" spans="1:2" x14ac:dyDescent="0.25">
      <c r="A342" s="58"/>
      <c r="B342" s="58"/>
    </row>
    <row r="343" spans="1:2" x14ac:dyDescent="0.25">
      <c r="A343" s="58"/>
      <c r="B343" s="58"/>
    </row>
    <row r="344" spans="1:2" x14ac:dyDescent="0.25">
      <c r="A344" s="58"/>
      <c r="B344" s="58"/>
    </row>
    <row r="345" spans="1:2" x14ac:dyDescent="0.25">
      <c r="A345" s="58"/>
      <c r="B345" s="58"/>
    </row>
    <row r="346" spans="1:2" x14ac:dyDescent="0.25">
      <c r="A346" s="58"/>
      <c r="B346" s="58"/>
    </row>
    <row r="347" spans="1:2" x14ac:dyDescent="0.25">
      <c r="A347" s="58"/>
      <c r="B347" s="58"/>
    </row>
    <row r="348" spans="1:2" x14ac:dyDescent="0.25">
      <c r="A348" s="58"/>
      <c r="B348" s="58"/>
    </row>
    <row r="349" spans="1:2" x14ac:dyDescent="0.25">
      <c r="A349" s="58"/>
      <c r="B349" s="58"/>
    </row>
    <row r="350" spans="1:2" x14ac:dyDescent="0.25">
      <c r="A350" s="58"/>
      <c r="B350" s="58"/>
    </row>
    <row r="351" spans="1:2" x14ac:dyDescent="0.25">
      <c r="A351" s="58"/>
      <c r="B351" s="58"/>
    </row>
    <row r="352" spans="1:2" x14ac:dyDescent="0.25">
      <c r="A352" s="58"/>
      <c r="B352" s="58"/>
    </row>
    <row r="353" spans="1:2" x14ac:dyDescent="0.25">
      <c r="A353" s="58"/>
      <c r="B353" s="58"/>
    </row>
    <row r="354" spans="1:2" x14ac:dyDescent="0.25">
      <c r="A354" s="58"/>
      <c r="B354" s="58"/>
    </row>
    <row r="355" spans="1:2" x14ac:dyDescent="0.25">
      <c r="A355" s="58"/>
      <c r="B355" s="58"/>
    </row>
    <row r="356" spans="1:2" x14ac:dyDescent="0.25">
      <c r="A356" s="58"/>
      <c r="B356" s="58"/>
    </row>
    <row r="357" spans="1:2" x14ac:dyDescent="0.25">
      <c r="A357" s="58"/>
      <c r="B357" s="58"/>
    </row>
    <row r="358" spans="1:2" x14ac:dyDescent="0.25">
      <c r="A358" s="58"/>
      <c r="B358" s="58"/>
    </row>
    <row r="359" spans="1:2" x14ac:dyDescent="0.25">
      <c r="A359" s="58"/>
      <c r="B359" s="58"/>
    </row>
    <row r="360" spans="1:2" x14ac:dyDescent="0.25">
      <c r="A360" s="58"/>
      <c r="B360" s="58"/>
    </row>
    <row r="361" spans="1:2" x14ac:dyDescent="0.25">
      <c r="A361" s="58"/>
      <c r="B361" s="58"/>
    </row>
    <row r="362" spans="1:2" x14ac:dyDescent="0.25">
      <c r="A362" s="58"/>
      <c r="B362" s="58"/>
    </row>
    <row r="363" spans="1:2" x14ac:dyDescent="0.25">
      <c r="A363" s="58"/>
      <c r="B363" s="58"/>
    </row>
    <row r="364" spans="1:2" x14ac:dyDescent="0.25">
      <c r="A364" s="58"/>
      <c r="B364" s="58"/>
    </row>
    <row r="365" spans="1:2" x14ac:dyDescent="0.25">
      <c r="A365" s="58"/>
      <c r="B365" s="58"/>
    </row>
    <row r="366" spans="1:2" x14ac:dyDescent="0.25">
      <c r="A366" s="58"/>
      <c r="B366" s="58"/>
    </row>
    <row r="367" spans="1:2" x14ac:dyDescent="0.25">
      <c r="A367" s="58"/>
      <c r="B367" s="58"/>
    </row>
    <row r="368" spans="1:2" x14ac:dyDescent="0.25">
      <c r="A368" s="58"/>
      <c r="B368" s="58"/>
    </row>
    <row r="369" spans="1:2" x14ac:dyDescent="0.25">
      <c r="A369" s="58"/>
      <c r="B369" s="58"/>
    </row>
    <row r="370" spans="1:2" x14ac:dyDescent="0.25">
      <c r="A370" s="58"/>
      <c r="B370" s="58"/>
    </row>
    <row r="371" spans="1:2" x14ac:dyDescent="0.25">
      <c r="A371" s="58"/>
      <c r="B371" s="58"/>
    </row>
    <row r="372" spans="1:2" x14ac:dyDescent="0.25">
      <c r="A372" s="58"/>
      <c r="B372" s="58"/>
    </row>
    <row r="373" spans="1:2" x14ac:dyDescent="0.25">
      <c r="A373" s="58"/>
      <c r="B373" s="58"/>
    </row>
    <row r="374" spans="1:2" x14ac:dyDescent="0.25">
      <c r="A374" s="58"/>
      <c r="B374" s="58"/>
    </row>
    <row r="375" spans="1:2" x14ac:dyDescent="0.25">
      <c r="A375" s="58"/>
      <c r="B375" s="58"/>
    </row>
    <row r="376" spans="1:2" x14ac:dyDescent="0.25">
      <c r="A376" s="58"/>
      <c r="B376" s="58"/>
    </row>
    <row r="377" spans="1:2" x14ac:dyDescent="0.25">
      <c r="A377" s="58"/>
      <c r="B377" s="58"/>
    </row>
    <row r="378" spans="1:2" x14ac:dyDescent="0.25">
      <c r="A378" s="58"/>
      <c r="B378" s="58"/>
    </row>
    <row r="379" spans="1:2" x14ac:dyDescent="0.25">
      <c r="A379" s="58"/>
      <c r="B379" s="58"/>
    </row>
    <row r="380" spans="1:2" x14ac:dyDescent="0.25">
      <c r="A380" s="58"/>
      <c r="B380" s="58"/>
    </row>
    <row r="381" spans="1:2" x14ac:dyDescent="0.25">
      <c r="A381" s="58"/>
      <c r="B381" s="58"/>
    </row>
    <row r="382" spans="1:2" x14ac:dyDescent="0.25">
      <c r="A382" s="58"/>
      <c r="B382" s="58"/>
    </row>
    <row r="383" spans="1:2" x14ac:dyDescent="0.25">
      <c r="A383" s="58"/>
      <c r="B383" s="58"/>
    </row>
    <row r="384" spans="1:2" x14ac:dyDescent="0.25">
      <c r="A384" s="58"/>
      <c r="B384" s="58"/>
    </row>
    <row r="385" spans="1:2" x14ac:dyDescent="0.25">
      <c r="A385" s="58"/>
      <c r="B385" s="58"/>
    </row>
    <row r="386" spans="1:2" x14ac:dyDescent="0.25">
      <c r="A386" s="58"/>
      <c r="B386" s="58"/>
    </row>
    <row r="387" spans="1:2" x14ac:dyDescent="0.25">
      <c r="A387" s="58"/>
      <c r="B387" s="58"/>
    </row>
    <row r="388" spans="1:2" x14ac:dyDescent="0.25">
      <c r="A388" s="58"/>
      <c r="B388" s="58"/>
    </row>
    <row r="389" spans="1:2" x14ac:dyDescent="0.25">
      <c r="A389" s="58"/>
      <c r="B389" s="58"/>
    </row>
    <row r="390" spans="1:2" x14ac:dyDescent="0.25">
      <c r="A390" s="58"/>
      <c r="B390" s="58"/>
    </row>
    <row r="391" spans="1:2" x14ac:dyDescent="0.25">
      <c r="A391" s="58"/>
      <c r="B391" s="58"/>
    </row>
    <row r="392" spans="1:2" x14ac:dyDescent="0.25">
      <c r="A392" s="58"/>
      <c r="B392" s="58"/>
    </row>
    <row r="393" spans="1:2" x14ac:dyDescent="0.25">
      <c r="A393" s="58"/>
      <c r="B393" s="58"/>
    </row>
    <row r="394" spans="1:2" x14ac:dyDescent="0.25">
      <c r="A394" s="58"/>
      <c r="B394" s="58"/>
    </row>
    <row r="395" spans="1:2" x14ac:dyDescent="0.25">
      <c r="A395" s="58"/>
      <c r="B395" s="58"/>
    </row>
    <row r="396" spans="1:2" x14ac:dyDescent="0.25">
      <c r="A396" s="58"/>
      <c r="B396" s="58"/>
    </row>
    <row r="397" spans="1:2" x14ac:dyDescent="0.25">
      <c r="A397" s="58"/>
      <c r="B397" s="58"/>
    </row>
    <row r="398" spans="1:2" x14ac:dyDescent="0.25">
      <c r="A398" s="58"/>
      <c r="B398" s="58"/>
    </row>
    <row r="399" spans="1:2" x14ac:dyDescent="0.25">
      <c r="A399" s="58"/>
      <c r="B399" s="58"/>
    </row>
    <row r="400" spans="1:2" x14ac:dyDescent="0.25">
      <c r="A400" s="58"/>
      <c r="B400" s="58"/>
    </row>
    <row r="401" spans="1:2" x14ac:dyDescent="0.25">
      <c r="A401" s="58"/>
      <c r="B401" s="58"/>
    </row>
    <row r="402" spans="1:2" x14ac:dyDescent="0.25">
      <c r="A402" s="58"/>
      <c r="B402" s="58"/>
    </row>
    <row r="403" spans="1:2" x14ac:dyDescent="0.25">
      <c r="A403" s="58"/>
      <c r="B403" s="58"/>
    </row>
    <row r="404" spans="1:2" x14ac:dyDescent="0.25">
      <c r="A404" s="58"/>
      <c r="B404" s="58"/>
    </row>
    <row r="405" spans="1:2" x14ac:dyDescent="0.25">
      <c r="A405" s="58"/>
      <c r="B405" s="58"/>
    </row>
    <row r="406" spans="1:2" x14ac:dyDescent="0.25">
      <c r="A406" s="58"/>
      <c r="B406" s="58"/>
    </row>
    <row r="407" spans="1:2" x14ac:dyDescent="0.25">
      <c r="A407" s="58"/>
      <c r="B407" s="58"/>
    </row>
    <row r="408" spans="1:2" x14ac:dyDescent="0.25">
      <c r="A408" s="58"/>
      <c r="B408" s="58"/>
    </row>
    <row r="409" spans="1:2" x14ac:dyDescent="0.25">
      <c r="A409" s="58"/>
      <c r="B409" s="58"/>
    </row>
    <row r="410" spans="1:2" x14ac:dyDescent="0.25">
      <c r="A410" s="58"/>
      <c r="B410" s="58"/>
    </row>
    <row r="411" spans="1:2" x14ac:dyDescent="0.25">
      <c r="A411" s="58"/>
      <c r="B411" s="58"/>
    </row>
    <row r="412" spans="1:2" x14ac:dyDescent="0.25">
      <c r="A412" s="58"/>
      <c r="B412" s="58"/>
    </row>
    <row r="413" spans="1:2" x14ac:dyDescent="0.25">
      <c r="A413" s="58"/>
      <c r="B413" s="58"/>
    </row>
    <row r="414" spans="1:2" x14ac:dyDescent="0.25">
      <c r="A414" s="58"/>
      <c r="B414" s="58"/>
    </row>
    <row r="415" spans="1:2" x14ac:dyDescent="0.25">
      <c r="A415" s="58"/>
      <c r="B415" s="58"/>
    </row>
    <row r="416" spans="1:2" x14ac:dyDescent="0.25">
      <c r="A416" s="58"/>
      <c r="B416" s="58"/>
    </row>
    <row r="417" spans="1:2" x14ac:dyDescent="0.25">
      <c r="A417" s="58"/>
      <c r="B417" s="58"/>
    </row>
    <row r="418" spans="1:2" x14ac:dyDescent="0.25">
      <c r="A418" s="58"/>
      <c r="B418" s="58"/>
    </row>
    <row r="419" spans="1:2" x14ac:dyDescent="0.25">
      <c r="A419" s="58"/>
      <c r="B419" s="58"/>
    </row>
    <row r="420" spans="1:2" x14ac:dyDescent="0.25">
      <c r="A420" s="58"/>
      <c r="B420" s="58"/>
    </row>
    <row r="421" spans="1:2" x14ac:dyDescent="0.25">
      <c r="A421" s="58"/>
      <c r="B421" s="58"/>
    </row>
    <row r="422" spans="1:2" x14ac:dyDescent="0.25">
      <c r="A422" s="58"/>
      <c r="B422" s="58"/>
    </row>
    <row r="423" spans="1:2" x14ac:dyDescent="0.25">
      <c r="A423" s="58"/>
      <c r="B423" s="58"/>
    </row>
    <row r="424" spans="1:2" x14ac:dyDescent="0.25">
      <c r="A424" s="58"/>
      <c r="B424" s="58"/>
    </row>
    <row r="425" spans="1:2" x14ac:dyDescent="0.25">
      <c r="A425" s="58"/>
      <c r="B425" s="58"/>
    </row>
    <row r="426" spans="1:2" x14ac:dyDescent="0.25">
      <c r="A426" s="58"/>
      <c r="B426" s="58"/>
    </row>
    <row r="427" spans="1:2" x14ac:dyDescent="0.25">
      <c r="A427" s="58"/>
      <c r="B427" s="58"/>
    </row>
    <row r="428" spans="1:2" x14ac:dyDescent="0.25">
      <c r="A428" s="58"/>
      <c r="B428" s="58"/>
    </row>
    <row r="429" spans="1:2" x14ac:dyDescent="0.25">
      <c r="A429" s="58"/>
      <c r="B429" s="58"/>
    </row>
    <row r="430" spans="1:2" x14ac:dyDescent="0.25">
      <c r="A430" s="58"/>
      <c r="B430" s="58"/>
    </row>
    <row r="431" spans="1:2" x14ac:dyDescent="0.25">
      <c r="A431" s="58"/>
      <c r="B431" s="58"/>
    </row>
    <row r="432" spans="1:2" x14ac:dyDescent="0.25">
      <c r="A432" s="58"/>
      <c r="B432" s="58"/>
    </row>
    <row r="433" spans="1:2" x14ac:dyDescent="0.25">
      <c r="A433" s="58"/>
      <c r="B433" s="58"/>
    </row>
    <row r="434" spans="1:2" x14ac:dyDescent="0.25">
      <c r="A434" s="58"/>
      <c r="B434" s="58"/>
    </row>
    <row r="435" spans="1:2" x14ac:dyDescent="0.25">
      <c r="A435" s="58"/>
      <c r="B435" s="58"/>
    </row>
    <row r="436" spans="1:2" x14ac:dyDescent="0.25">
      <c r="A436" s="58"/>
      <c r="B436" s="58"/>
    </row>
    <row r="437" spans="1:2" x14ac:dyDescent="0.25">
      <c r="A437" s="58"/>
      <c r="B437" s="58"/>
    </row>
    <row r="438" spans="1:2" x14ac:dyDescent="0.25">
      <c r="A438" s="58"/>
      <c r="B438" s="58"/>
    </row>
    <row r="439" spans="1:2" x14ac:dyDescent="0.25">
      <c r="A439" s="58"/>
      <c r="B439" s="58"/>
    </row>
    <row r="440" spans="1:2" x14ac:dyDescent="0.25">
      <c r="A440" s="58"/>
      <c r="B440" s="58"/>
    </row>
    <row r="441" spans="1:2" x14ac:dyDescent="0.25">
      <c r="A441" s="58"/>
      <c r="B441" s="58"/>
    </row>
    <row r="442" spans="1:2" x14ac:dyDescent="0.25">
      <c r="A442" s="58"/>
      <c r="B442" s="58"/>
    </row>
    <row r="443" spans="1:2" x14ac:dyDescent="0.25">
      <c r="A443" s="58"/>
      <c r="B443" s="58"/>
    </row>
    <row r="444" spans="1:2" x14ac:dyDescent="0.25">
      <c r="A444" s="58"/>
      <c r="B444" s="58"/>
    </row>
    <row r="445" spans="1:2" x14ac:dyDescent="0.25">
      <c r="A445" s="58"/>
      <c r="B445" s="58"/>
    </row>
    <row r="446" spans="1:2" x14ac:dyDescent="0.25">
      <c r="A446" s="58"/>
      <c r="B446" s="58"/>
    </row>
    <row r="447" spans="1:2" x14ac:dyDescent="0.25">
      <c r="A447" s="58"/>
      <c r="B447" s="58"/>
    </row>
    <row r="448" spans="1:2" x14ac:dyDescent="0.25">
      <c r="A448" s="58"/>
      <c r="B448" s="58"/>
    </row>
    <row r="449" spans="1:2" x14ac:dyDescent="0.25">
      <c r="A449" s="58"/>
      <c r="B449" s="58"/>
    </row>
    <row r="450" spans="1:2" x14ac:dyDescent="0.25">
      <c r="A450" s="58"/>
      <c r="B450" s="58"/>
    </row>
    <row r="451" spans="1:2" x14ac:dyDescent="0.25">
      <c r="A451" s="58"/>
      <c r="B451" s="58"/>
    </row>
    <row r="452" spans="1:2" x14ac:dyDescent="0.25">
      <c r="A452" s="58"/>
      <c r="B452" s="58"/>
    </row>
    <row r="453" spans="1:2" x14ac:dyDescent="0.25">
      <c r="A453" s="58"/>
      <c r="B453" s="58"/>
    </row>
    <row r="454" spans="1:2" x14ac:dyDescent="0.25">
      <c r="A454" s="58"/>
      <c r="B454" s="58"/>
    </row>
    <row r="455" spans="1:2" x14ac:dyDescent="0.25">
      <c r="A455" s="58"/>
      <c r="B455" s="58"/>
    </row>
    <row r="456" spans="1:2" x14ac:dyDescent="0.25">
      <c r="A456" s="58"/>
      <c r="B456" s="58"/>
    </row>
    <row r="457" spans="1:2" x14ac:dyDescent="0.25">
      <c r="A457" s="58"/>
      <c r="B457" s="58"/>
    </row>
    <row r="458" spans="1:2" x14ac:dyDescent="0.25">
      <c r="A458" s="58"/>
      <c r="B458" s="58"/>
    </row>
    <row r="459" spans="1:2" x14ac:dyDescent="0.25">
      <c r="A459" s="58"/>
      <c r="B459" s="58"/>
    </row>
    <row r="460" spans="1:2" x14ac:dyDescent="0.25">
      <c r="A460" s="58"/>
      <c r="B460" s="58"/>
    </row>
    <row r="461" spans="1:2" x14ac:dyDescent="0.25">
      <c r="A461" s="58"/>
      <c r="B461" s="58"/>
    </row>
    <row r="462" spans="1:2" x14ac:dyDescent="0.25">
      <c r="A462" s="58"/>
      <c r="B462" s="58"/>
    </row>
    <row r="463" spans="1:2" x14ac:dyDescent="0.25">
      <c r="A463" s="58"/>
      <c r="B463" s="58"/>
    </row>
    <row r="464" spans="1:2" x14ac:dyDescent="0.25">
      <c r="A464" s="58"/>
      <c r="B464" s="58"/>
    </row>
    <row r="465" spans="1:2" x14ac:dyDescent="0.25">
      <c r="A465" s="58"/>
      <c r="B465" s="58"/>
    </row>
    <row r="466" spans="1:2" x14ac:dyDescent="0.25">
      <c r="A466" s="58"/>
      <c r="B466" s="58"/>
    </row>
    <row r="467" spans="1:2" x14ac:dyDescent="0.25">
      <c r="A467" s="58"/>
      <c r="B467" s="58"/>
    </row>
    <row r="468" spans="1:2" x14ac:dyDescent="0.25">
      <c r="A468" s="58"/>
      <c r="B468" s="58"/>
    </row>
    <row r="469" spans="1:2" x14ac:dyDescent="0.25">
      <c r="A469" s="58"/>
      <c r="B469" s="58"/>
    </row>
    <row r="470" spans="1:2" x14ac:dyDescent="0.25">
      <c r="A470" s="58"/>
      <c r="B470" s="58"/>
    </row>
    <row r="471" spans="1:2" x14ac:dyDescent="0.25">
      <c r="A471" s="58"/>
      <c r="B471" s="58"/>
    </row>
    <row r="472" spans="1:2" x14ac:dyDescent="0.25">
      <c r="A472" s="58"/>
      <c r="B472" s="58"/>
    </row>
    <row r="473" spans="1:2" x14ac:dyDescent="0.25">
      <c r="A473" s="58"/>
      <c r="B473" s="58"/>
    </row>
    <row r="474" spans="1:2" x14ac:dyDescent="0.25">
      <c r="A474" s="58"/>
      <c r="B474" s="58"/>
    </row>
    <row r="475" spans="1:2" x14ac:dyDescent="0.25">
      <c r="A475" s="58"/>
      <c r="B475" s="58"/>
    </row>
    <row r="476" spans="1:2" x14ac:dyDescent="0.25">
      <c r="A476" s="58"/>
      <c r="B476" s="58"/>
    </row>
    <row r="477" spans="1:2" x14ac:dyDescent="0.25">
      <c r="A477" s="58"/>
      <c r="B477" s="58"/>
    </row>
    <row r="478" spans="1:2" x14ac:dyDescent="0.25">
      <c r="A478" s="58"/>
      <c r="B478" s="58"/>
    </row>
    <row r="479" spans="1:2" x14ac:dyDescent="0.25">
      <c r="A479" s="58"/>
      <c r="B479" s="58"/>
    </row>
    <row r="480" spans="1:2" x14ac:dyDescent="0.25">
      <c r="A480" s="58"/>
      <c r="B480" s="58"/>
    </row>
    <row r="481" spans="1:2" x14ac:dyDescent="0.25">
      <c r="A481" s="58"/>
      <c r="B481" s="58"/>
    </row>
    <row r="482" spans="1:2" x14ac:dyDescent="0.25">
      <c r="A482" s="58"/>
      <c r="B482" s="58"/>
    </row>
    <row r="483" spans="1:2" x14ac:dyDescent="0.25">
      <c r="A483" s="58"/>
      <c r="B483" s="58"/>
    </row>
    <row r="484" spans="1:2" x14ac:dyDescent="0.25">
      <c r="A484" s="58"/>
      <c r="B484" s="58"/>
    </row>
    <row r="485" spans="1:2" x14ac:dyDescent="0.25">
      <c r="A485" s="58"/>
      <c r="B485" s="58"/>
    </row>
    <row r="486" spans="1:2" x14ac:dyDescent="0.25">
      <c r="A486" s="58"/>
      <c r="B486" s="58"/>
    </row>
    <row r="487" spans="1:2" x14ac:dyDescent="0.25">
      <c r="A487" s="58"/>
      <c r="B487" s="58"/>
    </row>
    <row r="488" spans="1:2" x14ac:dyDescent="0.25">
      <c r="A488" s="58"/>
      <c r="B488" s="58"/>
    </row>
    <row r="489" spans="1:2" x14ac:dyDescent="0.25">
      <c r="A489" s="58"/>
      <c r="B489" s="58"/>
    </row>
    <row r="490" spans="1:2" x14ac:dyDescent="0.25">
      <c r="A490" s="58"/>
      <c r="B490" s="58"/>
    </row>
    <row r="491" spans="1:2" x14ac:dyDescent="0.25">
      <c r="A491" s="58"/>
      <c r="B49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D20:H20"/>
    <mergeCell ref="D21:H21"/>
    <mergeCell ref="D22:H22"/>
  </mergeCells>
  <dataValidations count="1">
    <dataValidation type="decimal" allowBlank="1" showInputMessage="1" showErrorMessage="1" sqref="E3" xr:uid="{BC7FAF5E-725E-4960-BCFC-1B4DD3B99CB8}">
      <formula1>0</formula1>
      <formula2>1</formula2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DDA1-913C-4520-9310-0D20C1ACEC7A}">
  <sheetPr>
    <pageSetUpPr fitToPage="1"/>
  </sheetPr>
  <dimension ref="A1:H491"/>
  <sheetViews>
    <sheetView workbookViewId="0">
      <selection activeCell="D25" sqref="D25"/>
    </sheetView>
  </sheetViews>
  <sheetFormatPr defaultColWidth="9.109375" defaultRowHeight="13.2" x14ac:dyDescent="0.25"/>
  <cols>
    <col min="1" max="2" width="9.88671875" style="2" customWidth="1"/>
    <col min="3" max="3" width="4.109375" style="2" customWidth="1"/>
    <col min="4" max="4" width="27.6640625" style="2" customWidth="1"/>
    <col min="5" max="6" width="11.33203125" style="2" customWidth="1"/>
    <col min="7" max="7" width="8.5546875" style="2" bestFit="1" customWidth="1"/>
    <col min="8" max="8" width="30.88671875" style="2" bestFit="1" customWidth="1"/>
    <col min="9" max="16384" width="9.109375" style="2"/>
  </cols>
  <sheetData>
    <row r="1" spans="1:8" s="25" customFormat="1" ht="21" x14ac:dyDescent="0.4">
      <c r="A1" s="257" t="s">
        <v>13</v>
      </c>
      <c r="B1" s="279"/>
      <c r="C1" s="278"/>
      <c r="D1" s="278"/>
      <c r="E1" s="279"/>
      <c r="F1" s="279"/>
      <c r="G1" s="279"/>
      <c r="H1" s="279"/>
    </row>
    <row r="2" spans="1:8" ht="12.75" customHeight="1" x14ac:dyDescent="0.4">
      <c r="A2" s="58"/>
      <c r="B2" s="58"/>
      <c r="D2" s="26"/>
    </row>
    <row r="3" spans="1:8" ht="12.75" customHeight="1" thickBot="1" x14ac:dyDescent="0.3">
      <c r="A3" s="297" t="s">
        <v>274</v>
      </c>
      <c r="B3" s="298" t="s">
        <v>275</v>
      </c>
      <c r="D3" s="254" t="s">
        <v>0</v>
      </c>
      <c r="E3" s="37">
        <v>0.1</v>
      </c>
    </row>
    <row r="4" spans="1:8" ht="12.75" customHeight="1" x14ac:dyDescent="0.25">
      <c r="A4" s="299">
        <v>131</v>
      </c>
      <c r="B4" s="300">
        <v>130</v>
      </c>
    </row>
    <row r="5" spans="1:8" ht="12.75" customHeight="1" x14ac:dyDescent="0.25">
      <c r="A5" s="299">
        <v>135</v>
      </c>
      <c r="B5" s="300">
        <v>102</v>
      </c>
      <c r="E5" s="281" t="str">
        <f>A3</f>
        <v>Sales</v>
      </c>
      <c r="F5" s="281" t="str">
        <f>B3</f>
        <v>Audit</v>
      </c>
    </row>
    <row r="6" spans="1:8" ht="12.75" customHeight="1" x14ac:dyDescent="0.25">
      <c r="A6" s="299">
        <v>146</v>
      </c>
      <c r="B6" s="300">
        <v>129</v>
      </c>
      <c r="D6" s="254" t="s">
        <v>2</v>
      </c>
      <c r="E6" s="301">
        <f>AVERAGE(A4:A203)</f>
        <v>142.5</v>
      </c>
      <c r="F6" s="301">
        <f>AVERAGE(B4:B203)</f>
        <v>130.28571428571428</v>
      </c>
    </row>
    <row r="7" spans="1:8" ht="12.75" customHeight="1" x14ac:dyDescent="0.25">
      <c r="A7" s="299">
        <v>165</v>
      </c>
      <c r="B7" s="300">
        <v>143</v>
      </c>
      <c r="D7" s="254" t="s">
        <v>1</v>
      </c>
      <c r="E7" s="302">
        <f>COUNT(A4:A203)</f>
        <v>6</v>
      </c>
      <c r="F7" s="302">
        <f>COUNT(B4:B203)</f>
        <v>7</v>
      </c>
    </row>
    <row r="8" spans="1:8" ht="12.75" customHeight="1" x14ac:dyDescent="0.25">
      <c r="A8" s="299">
        <v>136</v>
      </c>
      <c r="B8" s="300">
        <v>149</v>
      </c>
      <c r="D8" s="254" t="s">
        <v>14</v>
      </c>
      <c r="E8" s="301">
        <f>STDEV(A4:A203)</f>
        <v>12.243365550370536</v>
      </c>
      <c r="F8" s="301">
        <f>STDEV(B4:B203)</f>
        <v>15.787276371752482</v>
      </c>
    </row>
    <row r="9" spans="1:8" ht="12.75" customHeight="1" x14ac:dyDescent="0.25">
      <c r="A9" s="299">
        <v>142</v>
      </c>
      <c r="B9" s="300">
        <v>120</v>
      </c>
      <c r="D9" s="3"/>
      <c r="E9" s="282"/>
      <c r="F9" s="282"/>
    </row>
    <row r="10" spans="1:8" ht="12.75" customHeight="1" x14ac:dyDescent="0.25">
      <c r="A10" s="299"/>
      <c r="B10" s="300">
        <v>139</v>
      </c>
      <c r="D10" s="252" t="s">
        <v>15</v>
      </c>
      <c r="E10" s="251">
        <f>IF(AND(E7&gt;29,F7&gt;29),SQRT(E8*E8/E7+F8*F8/F7),SQRT(((E7-1)*E8*E8+(F7-1)*F8*F8)*(1/E7+1/F7)/(E7+F7-2)))</f>
        <v>7.9478919076776871</v>
      </c>
      <c r="F10" s="282"/>
    </row>
    <row r="11" spans="1:8" ht="12.75" customHeight="1" x14ac:dyDescent="0.25">
      <c r="A11" s="299"/>
      <c r="B11" s="300"/>
      <c r="D11" s="252" t="s">
        <v>8</v>
      </c>
      <c r="E11" s="251">
        <f>(E6-F6)/E10</f>
        <v>1.5367956504902496</v>
      </c>
      <c r="F11" s="282"/>
    </row>
    <row r="12" spans="1:8" ht="12.75" customHeight="1" x14ac:dyDescent="0.25">
      <c r="A12" s="299"/>
      <c r="B12" s="300"/>
    </row>
    <row r="13" spans="1:8" ht="12.75" customHeight="1" thickBot="1" x14ac:dyDescent="0.3">
      <c r="A13" s="299"/>
      <c r="B13" s="300"/>
    </row>
    <row r="14" spans="1:8" ht="12.75" customHeight="1" x14ac:dyDescent="0.25">
      <c r="A14" s="299"/>
      <c r="B14" s="300"/>
      <c r="D14" s="295"/>
      <c r="E14" s="303" t="s">
        <v>19</v>
      </c>
      <c r="F14" s="303" t="s">
        <v>20</v>
      </c>
      <c r="G14" s="248" t="s">
        <v>12</v>
      </c>
      <c r="H14" s="247" t="s">
        <v>5</v>
      </c>
    </row>
    <row r="15" spans="1:8" ht="12.75" customHeight="1" x14ac:dyDescent="0.25">
      <c r="A15" s="299"/>
      <c r="B15" s="300"/>
      <c r="D15" s="246"/>
      <c r="E15" s="304" t="s">
        <v>21</v>
      </c>
      <c r="F15" s="304" t="s">
        <v>21</v>
      </c>
      <c r="G15" s="305"/>
      <c r="H15" s="306"/>
    </row>
    <row r="16" spans="1:8" ht="12.75" customHeight="1" x14ac:dyDescent="0.25">
      <c r="A16" s="299"/>
      <c r="B16" s="300"/>
      <c r="D16" s="246"/>
      <c r="E16"/>
      <c r="F16"/>
      <c r="G16" s="245"/>
      <c r="H16" s="244"/>
    </row>
    <row r="17" spans="1:8" ht="12.75" customHeight="1" x14ac:dyDescent="0.25">
      <c r="A17" s="299"/>
      <c r="B17" s="300"/>
      <c r="D17" s="286"/>
      <c r="E17"/>
      <c r="F17"/>
      <c r="G17" s="285"/>
      <c r="H17" s="244"/>
    </row>
    <row r="18" spans="1:8" ht="12.75" customHeight="1" x14ac:dyDescent="0.25">
      <c r="A18" s="299"/>
      <c r="B18" s="300"/>
      <c r="D18" s="243" t="s">
        <v>4</v>
      </c>
      <c r="E18" s="242" t="s">
        <v>11</v>
      </c>
      <c r="F18" s="242">
        <f>IF(AND($E$7&gt;29,$F$7&gt;29),NORMSINV(1-$E$3),TINV(2*$E$3,$E$7+$F$7-2))</f>
        <v>1.3634303180205409</v>
      </c>
      <c r="G18" s="242">
        <f>IF($E$11&lt;0,1-TDIST(ABS($E$11),$E$7+$F$7,1),TDIST(ABS($E$11),$E$7+$F$7,1))</f>
        <v>7.4159541588822431E-2</v>
      </c>
      <c r="H18" s="241" t="str">
        <f>IF(G18&lt;$E$3,"Reject the null hypothesis","Do not reject the null hypothesis")</f>
        <v>Reject the null hypothesis</v>
      </c>
    </row>
    <row r="19" spans="1:8" ht="13.8" thickBot="1" x14ac:dyDescent="0.3">
      <c r="A19" s="299"/>
      <c r="B19" s="300"/>
      <c r="D19" s="287" t="s">
        <v>241</v>
      </c>
      <c r="E19" s="239"/>
      <c r="F19" s="239"/>
      <c r="G19" s="238"/>
      <c r="H19" s="237"/>
    </row>
    <row r="20" spans="1:8" x14ac:dyDescent="0.25">
      <c r="A20" s="299"/>
      <c r="B20" s="300"/>
    </row>
    <row r="21" spans="1:8" x14ac:dyDescent="0.25">
      <c r="A21" s="299"/>
      <c r="B21" s="300"/>
      <c r="D21" s="288" t="s">
        <v>243</v>
      </c>
      <c r="E21" s="288"/>
      <c r="F21" s="288"/>
      <c r="G21" s="288"/>
      <c r="H21" s="288"/>
    </row>
    <row r="22" spans="1:8" x14ac:dyDescent="0.25">
      <c r="A22" s="299"/>
      <c r="B22" s="300"/>
      <c r="D22" s="289" t="s">
        <v>244</v>
      </c>
      <c r="E22" s="289"/>
      <c r="F22" s="289"/>
      <c r="G22" s="289"/>
      <c r="H22" s="289"/>
    </row>
    <row r="23" spans="1:8" x14ac:dyDescent="0.25">
      <c r="A23" s="299"/>
      <c r="B23" s="300"/>
      <c r="D23" s="290" t="s">
        <v>245</v>
      </c>
      <c r="E23" s="290"/>
      <c r="F23" s="290"/>
      <c r="G23" s="290"/>
      <c r="H23" s="290"/>
    </row>
    <row r="24" spans="1:8" x14ac:dyDescent="0.25">
      <c r="A24" s="299"/>
      <c r="B24" s="300"/>
    </row>
    <row r="25" spans="1:8" x14ac:dyDescent="0.25">
      <c r="A25" s="299"/>
      <c r="B25" s="300"/>
      <c r="D25" s="236" t="s">
        <v>276</v>
      </c>
      <c r="E25" s="236"/>
      <c r="F25" s="236"/>
      <c r="G25" s="236"/>
      <c r="H25" s="236"/>
    </row>
    <row r="26" spans="1:8" ht="13.8" thickBot="1" x14ac:dyDescent="0.3">
      <c r="A26" s="299"/>
      <c r="B26" s="300"/>
    </row>
    <row r="27" spans="1:8" ht="13.8" thickBot="1" x14ac:dyDescent="0.3">
      <c r="A27" s="299"/>
      <c r="B27" s="300"/>
      <c r="E27" s="291" t="s">
        <v>270</v>
      </c>
      <c r="F27" s="292"/>
      <c r="G27" s="293"/>
    </row>
    <row r="28" spans="1:8" x14ac:dyDescent="0.25">
      <c r="A28" s="299"/>
      <c r="B28" s="300"/>
    </row>
    <row r="29" spans="1:8" x14ac:dyDescent="0.25">
      <c r="A29" s="299"/>
      <c r="B29" s="300"/>
    </row>
    <row r="30" spans="1:8" x14ac:dyDescent="0.25">
      <c r="A30" s="299"/>
      <c r="B30" s="300"/>
    </row>
    <row r="31" spans="1:8" x14ac:dyDescent="0.25">
      <c r="A31" s="299"/>
      <c r="B31" s="300"/>
    </row>
    <row r="32" spans="1:8" x14ac:dyDescent="0.25">
      <c r="A32" s="299"/>
      <c r="B32" s="300"/>
    </row>
    <row r="33" spans="1:2" x14ac:dyDescent="0.25">
      <c r="A33" s="299"/>
      <c r="B33" s="300"/>
    </row>
    <row r="34" spans="1:2" x14ac:dyDescent="0.25">
      <c r="A34" s="299"/>
      <c r="B34" s="300"/>
    </row>
    <row r="35" spans="1:2" x14ac:dyDescent="0.25">
      <c r="A35" s="299"/>
      <c r="B35" s="300"/>
    </row>
    <row r="36" spans="1:2" x14ac:dyDescent="0.25">
      <c r="A36" s="299"/>
      <c r="B36" s="300"/>
    </row>
    <row r="37" spans="1:2" x14ac:dyDescent="0.25">
      <c r="A37" s="299"/>
      <c r="B37" s="300"/>
    </row>
    <row r="38" spans="1:2" x14ac:dyDescent="0.25">
      <c r="A38" s="299"/>
      <c r="B38" s="300"/>
    </row>
    <row r="39" spans="1:2" x14ac:dyDescent="0.25">
      <c r="A39" s="299"/>
      <c r="B39" s="300"/>
    </row>
    <row r="40" spans="1:2" x14ac:dyDescent="0.25">
      <c r="A40" s="299"/>
      <c r="B40" s="300"/>
    </row>
    <row r="41" spans="1:2" x14ac:dyDescent="0.25">
      <c r="A41" s="299"/>
      <c r="B41" s="300"/>
    </row>
    <row r="42" spans="1:2" x14ac:dyDescent="0.25">
      <c r="A42" s="299"/>
      <c r="B42" s="300"/>
    </row>
    <row r="43" spans="1:2" x14ac:dyDescent="0.25">
      <c r="A43" s="299"/>
      <c r="B43" s="300"/>
    </row>
    <row r="44" spans="1:2" x14ac:dyDescent="0.25">
      <c r="A44" s="299"/>
      <c r="B44" s="300"/>
    </row>
    <row r="45" spans="1:2" x14ac:dyDescent="0.25">
      <c r="A45" s="299"/>
      <c r="B45" s="300"/>
    </row>
    <row r="46" spans="1:2" x14ac:dyDescent="0.25">
      <c r="A46" s="299"/>
      <c r="B46" s="300"/>
    </row>
    <row r="47" spans="1:2" x14ac:dyDescent="0.25">
      <c r="A47" s="299"/>
      <c r="B47" s="300"/>
    </row>
    <row r="48" spans="1:2" x14ac:dyDescent="0.25">
      <c r="A48" s="299"/>
      <c r="B48" s="300"/>
    </row>
    <row r="49" spans="1:2" x14ac:dyDescent="0.25">
      <c r="A49" s="299"/>
      <c r="B49" s="300"/>
    </row>
    <row r="50" spans="1:2" x14ac:dyDescent="0.25">
      <c r="A50" s="299"/>
      <c r="B50" s="300"/>
    </row>
    <row r="51" spans="1:2" x14ac:dyDescent="0.25">
      <c r="A51" s="299"/>
      <c r="B51" s="300"/>
    </row>
    <row r="52" spans="1:2" x14ac:dyDescent="0.25">
      <c r="A52" s="299"/>
      <c r="B52" s="300"/>
    </row>
    <row r="53" spans="1:2" x14ac:dyDescent="0.25">
      <c r="A53" s="299"/>
      <c r="B53" s="300"/>
    </row>
    <row r="54" spans="1:2" x14ac:dyDescent="0.25">
      <c r="A54" s="299"/>
      <c r="B54" s="300"/>
    </row>
    <row r="55" spans="1:2" x14ac:dyDescent="0.25">
      <c r="A55" s="299"/>
      <c r="B55" s="300"/>
    </row>
    <row r="56" spans="1:2" x14ac:dyDescent="0.25">
      <c r="A56" s="299"/>
      <c r="B56" s="300"/>
    </row>
    <row r="57" spans="1:2" x14ac:dyDescent="0.25">
      <c r="A57" s="299"/>
      <c r="B57" s="300"/>
    </row>
    <row r="58" spans="1:2" x14ac:dyDescent="0.25">
      <c r="A58" s="299"/>
      <c r="B58" s="300"/>
    </row>
    <row r="59" spans="1:2" x14ac:dyDescent="0.25">
      <c r="A59" s="299"/>
      <c r="B59" s="300"/>
    </row>
    <row r="60" spans="1:2" x14ac:dyDescent="0.25">
      <c r="A60" s="299"/>
      <c r="B60" s="300"/>
    </row>
    <row r="61" spans="1:2" x14ac:dyDescent="0.25">
      <c r="A61" s="299"/>
      <c r="B61" s="300"/>
    </row>
    <row r="62" spans="1:2" x14ac:dyDescent="0.25">
      <c r="A62" s="299"/>
      <c r="B62" s="300"/>
    </row>
    <row r="63" spans="1:2" x14ac:dyDescent="0.25">
      <c r="A63" s="299"/>
      <c r="B63" s="300"/>
    </row>
    <row r="64" spans="1:2" x14ac:dyDescent="0.25">
      <c r="A64" s="299"/>
      <c r="B64" s="300"/>
    </row>
    <row r="65" spans="1:2" x14ac:dyDescent="0.25">
      <c r="A65" s="299"/>
      <c r="B65" s="300"/>
    </row>
    <row r="66" spans="1:2" x14ac:dyDescent="0.25">
      <c r="A66" s="299"/>
      <c r="B66" s="300"/>
    </row>
    <row r="67" spans="1:2" x14ac:dyDescent="0.25">
      <c r="A67" s="299"/>
      <c r="B67" s="300"/>
    </row>
    <row r="68" spans="1:2" x14ac:dyDescent="0.25">
      <c r="A68" s="299"/>
      <c r="B68" s="300"/>
    </row>
    <row r="69" spans="1:2" x14ac:dyDescent="0.25">
      <c r="A69" s="299"/>
      <c r="B69" s="300"/>
    </row>
    <row r="70" spans="1:2" x14ac:dyDescent="0.25">
      <c r="A70" s="299"/>
      <c r="B70" s="300"/>
    </row>
    <row r="71" spans="1:2" x14ac:dyDescent="0.25">
      <c r="A71" s="299"/>
      <c r="B71" s="300"/>
    </row>
    <row r="72" spans="1:2" x14ac:dyDescent="0.25">
      <c r="A72" s="299"/>
      <c r="B72" s="300"/>
    </row>
    <row r="73" spans="1:2" x14ac:dyDescent="0.25">
      <c r="A73" s="299"/>
      <c r="B73" s="300"/>
    </row>
    <row r="74" spans="1:2" x14ac:dyDescent="0.25">
      <c r="A74" s="299"/>
      <c r="B74" s="300"/>
    </row>
    <row r="75" spans="1:2" x14ac:dyDescent="0.25">
      <c r="A75" s="299"/>
      <c r="B75" s="300"/>
    </row>
    <row r="76" spans="1:2" x14ac:dyDescent="0.25">
      <c r="A76" s="299"/>
      <c r="B76" s="300"/>
    </row>
    <row r="77" spans="1:2" x14ac:dyDescent="0.25">
      <c r="A77" s="299"/>
      <c r="B77" s="300"/>
    </row>
    <row r="78" spans="1:2" x14ac:dyDescent="0.25">
      <c r="A78" s="299"/>
      <c r="B78" s="300"/>
    </row>
    <row r="79" spans="1:2" x14ac:dyDescent="0.25">
      <c r="A79" s="299"/>
      <c r="B79" s="300"/>
    </row>
    <row r="80" spans="1:2" x14ac:dyDescent="0.25">
      <c r="A80" s="299"/>
      <c r="B80" s="300"/>
    </row>
    <row r="81" spans="1:2" x14ac:dyDescent="0.25">
      <c r="A81" s="299"/>
      <c r="B81" s="300"/>
    </row>
    <row r="82" spans="1:2" x14ac:dyDescent="0.25">
      <c r="A82" s="299"/>
      <c r="B82" s="300"/>
    </row>
    <row r="83" spans="1:2" x14ac:dyDescent="0.25">
      <c r="A83" s="299"/>
      <c r="B83" s="300"/>
    </row>
    <row r="84" spans="1:2" x14ac:dyDescent="0.25">
      <c r="A84" s="299"/>
      <c r="B84" s="300"/>
    </row>
    <row r="85" spans="1:2" x14ac:dyDescent="0.25">
      <c r="A85" s="299"/>
      <c r="B85" s="300"/>
    </row>
    <row r="86" spans="1:2" x14ac:dyDescent="0.25">
      <c r="A86" s="299"/>
      <c r="B86" s="300"/>
    </row>
    <row r="87" spans="1:2" x14ac:dyDescent="0.25">
      <c r="A87" s="299"/>
      <c r="B87" s="300"/>
    </row>
    <row r="88" spans="1:2" x14ac:dyDescent="0.25">
      <c r="A88" s="299"/>
      <c r="B88" s="300"/>
    </row>
    <row r="89" spans="1:2" x14ac:dyDescent="0.25">
      <c r="A89" s="299"/>
      <c r="B89" s="300"/>
    </row>
    <row r="90" spans="1:2" x14ac:dyDescent="0.25">
      <c r="A90" s="299"/>
      <c r="B90" s="300"/>
    </row>
    <row r="91" spans="1:2" x14ac:dyDescent="0.25">
      <c r="A91" s="299"/>
      <c r="B91" s="300"/>
    </row>
    <row r="92" spans="1:2" x14ac:dyDescent="0.25">
      <c r="A92" s="299"/>
      <c r="B92" s="300"/>
    </row>
    <row r="93" spans="1:2" x14ac:dyDescent="0.25">
      <c r="A93" s="299"/>
      <c r="B93" s="300"/>
    </row>
    <row r="94" spans="1:2" x14ac:dyDescent="0.25">
      <c r="A94" s="299"/>
      <c r="B94" s="300"/>
    </row>
    <row r="95" spans="1:2" x14ac:dyDescent="0.25">
      <c r="A95" s="299"/>
      <c r="B95" s="300"/>
    </row>
    <row r="96" spans="1:2" x14ac:dyDescent="0.25">
      <c r="A96" s="299"/>
      <c r="B96" s="300"/>
    </row>
    <row r="97" spans="1:2" x14ac:dyDescent="0.25">
      <c r="A97" s="299"/>
      <c r="B97" s="300"/>
    </row>
    <row r="98" spans="1:2" x14ac:dyDescent="0.25">
      <c r="A98" s="299"/>
      <c r="B98" s="300"/>
    </row>
    <row r="99" spans="1:2" x14ac:dyDescent="0.25">
      <c r="A99" s="299"/>
      <c r="B99" s="300"/>
    </row>
    <row r="100" spans="1:2" x14ac:dyDescent="0.25">
      <c r="A100" s="299"/>
      <c r="B100" s="300"/>
    </row>
    <row r="101" spans="1:2" x14ac:dyDescent="0.25">
      <c r="A101" s="299"/>
      <c r="B101" s="300"/>
    </row>
    <row r="102" spans="1:2" x14ac:dyDescent="0.25">
      <c r="A102" s="299"/>
      <c r="B102" s="300"/>
    </row>
    <row r="103" spans="1:2" x14ac:dyDescent="0.25">
      <c r="A103" s="299"/>
      <c r="B103" s="300"/>
    </row>
    <row r="104" spans="1:2" x14ac:dyDescent="0.25">
      <c r="A104" s="299"/>
      <c r="B104" s="300"/>
    </row>
    <row r="105" spans="1:2" x14ac:dyDescent="0.25">
      <c r="A105" s="299"/>
      <c r="B105" s="300"/>
    </row>
    <row r="106" spans="1:2" x14ac:dyDescent="0.25">
      <c r="A106" s="299"/>
      <c r="B106" s="300"/>
    </row>
    <row r="107" spans="1:2" x14ac:dyDescent="0.25">
      <c r="A107" s="299"/>
      <c r="B107" s="300"/>
    </row>
    <row r="108" spans="1:2" x14ac:dyDescent="0.25">
      <c r="A108" s="299"/>
      <c r="B108" s="300"/>
    </row>
    <row r="109" spans="1:2" x14ac:dyDescent="0.25">
      <c r="A109" s="299"/>
      <c r="B109" s="300"/>
    </row>
    <row r="110" spans="1:2" x14ac:dyDescent="0.25">
      <c r="A110" s="299"/>
      <c r="B110" s="300"/>
    </row>
    <row r="111" spans="1:2" x14ac:dyDescent="0.25">
      <c r="A111" s="299"/>
      <c r="B111" s="300"/>
    </row>
    <row r="112" spans="1:2" x14ac:dyDescent="0.25">
      <c r="A112" s="299"/>
      <c r="B112" s="300"/>
    </row>
    <row r="113" spans="1:2" x14ac:dyDescent="0.25">
      <c r="A113" s="299"/>
      <c r="B113" s="300"/>
    </row>
    <row r="114" spans="1:2" x14ac:dyDescent="0.25">
      <c r="A114" s="299"/>
      <c r="B114" s="300"/>
    </row>
    <row r="115" spans="1:2" x14ac:dyDescent="0.25">
      <c r="A115" s="299"/>
      <c r="B115" s="300"/>
    </row>
    <row r="116" spans="1:2" x14ac:dyDescent="0.25">
      <c r="A116" s="299"/>
      <c r="B116" s="300"/>
    </row>
    <row r="117" spans="1:2" x14ac:dyDescent="0.25">
      <c r="A117" s="299"/>
      <c r="B117" s="300"/>
    </row>
    <row r="118" spans="1:2" x14ac:dyDescent="0.25">
      <c r="A118" s="299"/>
      <c r="B118" s="300"/>
    </row>
    <row r="119" spans="1:2" x14ac:dyDescent="0.25">
      <c r="A119" s="299"/>
      <c r="B119" s="300"/>
    </row>
    <row r="120" spans="1:2" x14ac:dyDescent="0.25">
      <c r="A120" s="299"/>
      <c r="B120" s="300"/>
    </row>
    <row r="121" spans="1:2" x14ac:dyDescent="0.25">
      <c r="A121" s="299"/>
      <c r="B121" s="300"/>
    </row>
    <row r="122" spans="1:2" x14ac:dyDescent="0.25">
      <c r="A122" s="299"/>
      <c r="B122" s="300"/>
    </row>
    <row r="123" spans="1:2" x14ac:dyDescent="0.25">
      <c r="A123" s="299"/>
      <c r="B123" s="300"/>
    </row>
    <row r="124" spans="1:2" x14ac:dyDescent="0.25">
      <c r="A124" s="299"/>
      <c r="B124" s="300"/>
    </row>
    <row r="125" spans="1:2" x14ac:dyDescent="0.25">
      <c r="A125" s="299"/>
      <c r="B125" s="300"/>
    </row>
    <row r="126" spans="1:2" x14ac:dyDescent="0.25">
      <c r="A126" s="299"/>
      <c r="B126" s="300"/>
    </row>
    <row r="127" spans="1:2" x14ac:dyDescent="0.25">
      <c r="A127" s="299"/>
      <c r="B127" s="300"/>
    </row>
    <row r="128" spans="1:2" x14ac:dyDescent="0.25">
      <c r="A128" s="299"/>
      <c r="B128" s="300"/>
    </row>
    <row r="129" spans="1:2" x14ac:dyDescent="0.25">
      <c r="A129" s="299"/>
      <c r="B129" s="300"/>
    </row>
    <row r="130" spans="1:2" x14ac:dyDescent="0.25">
      <c r="A130" s="299"/>
      <c r="B130" s="300"/>
    </row>
    <row r="131" spans="1:2" x14ac:dyDescent="0.25">
      <c r="A131" s="299"/>
      <c r="B131" s="300"/>
    </row>
    <row r="132" spans="1:2" x14ac:dyDescent="0.25">
      <c r="A132" s="299"/>
      <c r="B132" s="300"/>
    </row>
    <row r="133" spans="1:2" x14ac:dyDescent="0.25">
      <c r="A133" s="299"/>
      <c r="B133" s="300"/>
    </row>
    <row r="134" spans="1:2" x14ac:dyDescent="0.25">
      <c r="A134" s="299"/>
      <c r="B134" s="300"/>
    </row>
    <row r="135" spans="1:2" x14ac:dyDescent="0.25">
      <c r="A135" s="299"/>
      <c r="B135" s="300"/>
    </row>
    <row r="136" spans="1:2" x14ac:dyDescent="0.25">
      <c r="A136" s="299"/>
      <c r="B136" s="300"/>
    </row>
    <row r="137" spans="1:2" x14ac:dyDescent="0.25">
      <c r="A137" s="299"/>
      <c r="B137" s="300"/>
    </row>
    <row r="138" spans="1:2" x14ac:dyDescent="0.25">
      <c r="A138" s="299"/>
      <c r="B138" s="300"/>
    </row>
    <row r="139" spans="1:2" x14ac:dyDescent="0.25">
      <c r="A139" s="299"/>
      <c r="B139" s="300"/>
    </row>
    <row r="140" spans="1:2" x14ac:dyDescent="0.25">
      <c r="A140" s="299"/>
      <c r="B140" s="300"/>
    </row>
    <row r="141" spans="1:2" x14ac:dyDescent="0.25">
      <c r="A141" s="299"/>
      <c r="B141" s="300"/>
    </row>
    <row r="142" spans="1:2" x14ac:dyDescent="0.25">
      <c r="A142" s="299"/>
      <c r="B142" s="300"/>
    </row>
    <row r="143" spans="1:2" x14ac:dyDescent="0.25">
      <c r="A143" s="299"/>
      <c r="B143" s="300"/>
    </row>
    <row r="144" spans="1:2" x14ac:dyDescent="0.25">
      <c r="A144" s="299"/>
      <c r="B144" s="300"/>
    </row>
    <row r="145" spans="1:2" x14ac:dyDescent="0.25">
      <c r="A145" s="299"/>
      <c r="B145" s="300"/>
    </row>
    <row r="146" spans="1:2" x14ac:dyDescent="0.25">
      <c r="A146" s="299"/>
      <c r="B146" s="300"/>
    </row>
    <row r="147" spans="1:2" x14ac:dyDescent="0.25">
      <c r="A147" s="299"/>
      <c r="B147" s="300"/>
    </row>
    <row r="148" spans="1:2" x14ac:dyDescent="0.25">
      <c r="A148" s="299"/>
      <c r="B148" s="300"/>
    </row>
    <row r="149" spans="1:2" x14ac:dyDescent="0.25">
      <c r="A149" s="299"/>
      <c r="B149" s="300"/>
    </row>
    <row r="150" spans="1:2" x14ac:dyDescent="0.25">
      <c r="A150" s="299"/>
      <c r="B150" s="300"/>
    </row>
    <row r="151" spans="1:2" x14ac:dyDescent="0.25">
      <c r="A151" s="299"/>
      <c r="B151" s="300"/>
    </row>
    <row r="152" spans="1:2" x14ac:dyDescent="0.25">
      <c r="A152" s="299"/>
      <c r="B152" s="300"/>
    </row>
    <row r="153" spans="1:2" x14ac:dyDescent="0.25">
      <c r="A153" s="299"/>
      <c r="B153" s="300"/>
    </row>
    <row r="154" spans="1:2" x14ac:dyDescent="0.25">
      <c r="A154" s="299"/>
      <c r="B154" s="300"/>
    </row>
    <row r="155" spans="1:2" x14ac:dyDescent="0.25">
      <c r="A155" s="299"/>
      <c r="B155" s="300"/>
    </row>
    <row r="156" spans="1:2" x14ac:dyDescent="0.25">
      <c r="A156" s="299"/>
      <c r="B156" s="300"/>
    </row>
    <row r="157" spans="1:2" x14ac:dyDescent="0.25">
      <c r="A157" s="299"/>
      <c r="B157" s="300"/>
    </row>
    <row r="158" spans="1:2" x14ac:dyDescent="0.25">
      <c r="A158" s="299"/>
      <c r="B158" s="300"/>
    </row>
    <row r="159" spans="1:2" x14ac:dyDescent="0.25">
      <c r="A159" s="299"/>
      <c r="B159" s="300"/>
    </row>
    <row r="160" spans="1:2" x14ac:dyDescent="0.25">
      <c r="A160" s="299"/>
      <c r="B160" s="300"/>
    </row>
    <row r="161" spans="1:2" x14ac:dyDescent="0.25">
      <c r="A161" s="299"/>
      <c r="B161" s="300"/>
    </row>
    <row r="162" spans="1:2" x14ac:dyDescent="0.25">
      <c r="A162" s="299"/>
      <c r="B162" s="300"/>
    </row>
    <row r="163" spans="1:2" x14ac:dyDescent="0.25">
      <c r="A163" s="299"/>
      <c r="B163" s="300"/>
    </row>
    <row r="164" spans="1:2" x14ac:dyDescent="0.25">
      <c r="A164" s="299"/>
      <c r="B164" s="300"/>
    </row>
    <row r="165" spans="1:2" x14ac:dyDescent="0.25">
      <c r="A165" s="299"/>
      <c r="B165" s="300"/>
    </row>
    <row r="166" spans="1:2" x14ac:dyDescent="0.25">
      <c r="A166" s="299"/>
      <c r="B166" s="300"/>
    </row>
    <row r="167" spans="1:2" x14ac:dyDescent="0.25">
      <c r="A167" s="299"/>
      <c r="B167" s="300"/>
    </row>
    <row r="168" spans="1:2" x14ac:dyDescent="0.25">
      <c r="A168" s="299"/>
      <c r="B168" s="300"/>
    </row>
    <row r="169" spans="1:2" x14ac:dyDescent="0.25">
      <c r="A169" s="299"/>
      <c r="B169" s="300"/>
    </row>
    <row r="170" spans="1:2" x14ac:dyDescent="0.25">
      <c r="A170" s="299"/>
      <c r="B170" s="300"/>
    </row>
    <row r="171" spans="1:2" x14ac:dyDescent="0.25">
      <c r="A171" s="299"/>
      <c r="B171" s="300"/>
    </row>
    <row r="172" spans="1:2" x14ac:dyDescent="0.25">
      <c r="A172" s="299"/>
      <c r="B172" s="300"/>
    </row>
    <row r="173" spans="1:2" x14ac:dyDescent="0.25">
      <c r="A173" s="299"/>
      <c r="B173" s="300"/>
    </row>
    <row r="174" spans="1:2" x14ac:dyDescent="0.25">
      <c r="A174" s="299"/>
      <c r="B174" s="300"/>
    </row>
    <row r="175" spans="1:2" x14ac:dyDescent="0.25">
      <c r="A175" s="299"/>
      <c r="B175" s="300"/>
    </row>
    <row r="176" spans="1:2" x14ac:dyDescent="0.25">
      <c r="A176" s="299"/>
      <c r="B176" s="300"/>
    </row>
    <row r="177" spans="1:2" x14ac:dyDescent="0.25">
      <c r="A177" s="299"/>
      <c r="B177" s="300"/>
    </row>
    <row r="178" spans="1:2" x14ac:dyDescent="0.25">
      <c r="A178" s="299"/>
      <c r="B178" s="300"/>
    </row>
    <row r="179" spans="1:2" x14ac:dyDescent="0.25">
      <c r="A179" s="299"/>
      <c r="B179" s="300"/>
    </row>
    <row r="180" spans="1:2" x14ac:dyDescent="0.25">
      <c r="A180" s="299"/>
      <c r="B180" s="300"/>
    </row>
    <row r="181" spans="1:2" x14ac:dyDescent="0.25">
      <c r="A181" s="299"/>
      <c r="B181" s="300"/>
    </row>
    <row r="182" spans="1:2" x14ac:dyDescent="0.25">
      <c r="A182" s="299"/>
      <c r="B182" s="300"/>
    </row>
    <row r="183" spans="1:2" x14ac:dyDescent="0.25">
      <c r="A183" s="299"/>
      <c r="B183" s="300"/>
    </row>
    <row r="184" spans="1:2" x14ac:dyDescent="0.25">
      <c r="A184" s="299"/>
      <c r="B184" s="300"/>
    </row>
    <row r="185" spans="1:2" x14ac:dyDescent="0.25">
      <c r="A185" s="299"/>
      <c r="B185" s="300"/>
    </row>
    <row r="186" spans="1:2" x14ac:dyDescent="0.25">
      <c r="A186" s="299"/>
      <c r="B186" s="300"/>
    </row>
    <row r="187" spans="1:2" x14ac:dyDescent="0.25">
      <c r="A187" s="299"/>
      <c r="B187" s="300"/>
    </row>
    <row r="188" spans="1:2" x14ac:dyDescent="0.25">
      <c r="A188" s="299"/>
      <c r="B188" s="300"/>
    </row>
    <row r="189" spans="1:2" x14ac:dyDescent="0.25">
      <c r="A189" s="299"/>
      <c r="B189" s="300"/>
    </row>
    <row r="190" spans="1:2" x14ac:dyDescent="0.25">
      <c r="A190" s="299"/>
      <c r="B190" s="300"/>
    </row>
    <row r="191" spans="1:2" x14ac:dyDescent="0.25">
      <c r="A191" s="299"/>
      <c r="B191" s="300"/>
    </row>
    <row r="192" spans="1:2" x14ac:dyDescent="0.25">
      <c r="A192" s="299"/>
      <c r="B192" s="300"/>
    </row>
    <row r="193" spans="1:2" x14ac:dyDescent="0.25">
      <c r="A193" s="299"/>
      <c r="B193" s="300"/>
    </row>
    <row r="194" spans="1:2" x14ac:dyDescent="0.25">
      <c r="A194" s="299"/>
      <c r="B194" s="300"/>
    </row>
    <row r="195" spans="1:2" x14ac:dyDescent="0.25">
      <c r="A195" s="299"/>
      <c r="B195" s="300"/>
    </row>
    <row r="196" spans="1:2" x14ac:dyDescent="0.25">
      <c r="A196" s="299"/>
      <c r="B196" s="300"/>
    </row>
    <row r="197" spans="1:2" x14ac:dyDescent="0.25">
      <c r="A197" s="299"/>
      <c r="B197" s="300"/>
    </row>
    <row r="198" spans="1:2" x14ac:dyDescent="0.25">
      <c r="A198" s="299"/>
      <c r="B198" s="300"/>
    </row>
    <row r="199" spans="1:2" x14ac:dyDescent="0.25">
      <c r="A199" s="299"/>
      <c r="B199" s="300"/>
    </row>
    <row r="200" spans="1:2" x14ac:dyDescent="0.25">
      <c r="A200" s="299"/>
      <c r="B200" s="300"/>
    </row>
    <row r="201" spans="1:2" x14ac:dyDescent="0.25">
      <c r="A201" s="299"/>
      <c r="B201" s="300"/>
    </row>
    <row r="202" spans="1:2" x14ac:dyDescent="0.25">
      <c r="A202" s="299"/>
      <c r="B202" s="300"/>
    </row>
    <row r="203" spans="1:2" x14ac:dyDescent="0.25">
      <c r="A203" s="299"/>
      <c r="B203" s="300"/>
    </row>
    <row r="204" spans="1:2" x14ac:dyDescent="0.25">
      <c r="A204" s="58"/>
      <c r="B204" s="58"/>
    </row>
    <row r="205" spans="1:2" x14ac:dyDescent="0.25">
      <c r="A205" s="58"/>
      <c r="B205" s="58"/>
    </row>
    <row r="206" spans="1:2" x14ac:dyDescent="0.25">
      <c r="A206" s="58"/>
      <c r="B206" s="58"/>
    </row>
    <row r="207" spans="1:2" x14ac:dyDescent="0.25">
      <c r="A207" s="58"/>
      <c r="B207" s="58"/>
    </row>
    <row r="208" spans="1:2" x14ac:dyDescent="0.25">
      <c r="A208" s="58"/>
      <c r="B208" s="58"/>
    </row>
    <row r="209" spans="1:2" x14ac:dyDescent="0.25">
      <c r="A209" s="58"/>
      <c r="B209" s="58"/>
    </row>
    <row r="210" spans="1:2" x14ac:dyDescent="0.25">
      <c r="A210" s="58"/>
      <c r="B210" s="58"/>
    </row>
    <row r="211" spans="1:2" x14ac:dyDescent="0.25">
      <c r="A211" s="58"/>
      <c r="B211" s="58"/>
    </row>
    <row r="212" spans="1:2" x14ac:dyDescent="0.25">
      <c r="A212" s="58"/>
      <c r="B212" s="58"/>
    </row>
    <row r="213" spans="1:2" x14ac:dyDescent="0.25">
      <c r="A213" s="58"/>
      <c r="B213" s="58"/>
    </row>
    <row r="214" spans="1:2" x14ac:dyDescent="0.25">
      <c r="A214" s="58"/>
      <c r="B214" s="58"/>
    </row>
    <row r="215" spans="1:2" x14ac:dyDescent="0.25">
      <c r="A215" s="58"/>
      <c r="B215" s="58"/>
    </row>
    <row r="216" spans="1:2" x14ac:dyDescent="0.25">
      <c r="A216" s="58"/>
      <c r="B216" s="58"/>
    </row>
    <row r="217" spans="1:2" x14ac:dyDescent="0.25">
      <c r="A217" s="58"/>
      <c r="B217" s="58"/>
    </row>
    <row r="218" spans="1:2" x14ac:dyDescent="0.25">
      <c r="A218" s="58"/>
      <c r="B218" s="58"/>
    </row>
    <row r="219" spans="1:2" x14ac:dyDescent="0.25">
      <c r="A219" s="58"/>
      <c r="B219" s="58"/>
    </row>
    <row r="220" spans="1:2" x14ac:dyDescent="0.25">
      <c r="A220" s="58"/>
      <c r="B220" s="58"/>
    </row>
    <row r="221" spans="1:2" x14ac:dyDescent="0.25">
      <c r="A221" s="58"/>
      <c r="B221" s="58"/>
    </row>
    <row r="222" spans="1:2" x14ac:dyDescent="0.25">
      <c r="A222" s="58"/>
      <c r="B222" s="58"/>
    </row>
    <row r="223" spans="1:2" x14ac:dyDescent="0.25">
      <c r="A223" s="58"/>
      <c r="B223" s="58"/>
    </row>
    <row r="224" spans="1:2" x14ac:dyDescent="0.25">
      <c r="A224" s="58"/>
      <c r="B224" s="58"/>
    </row>
    <row r="225" spans="1:2" x14ac:dyDescent="0.25">
      <c r="A225" s="58"/>
      <c r="B225" s="58"/>
    </row>
    <row r="226" spans="1:2" x14ac:dyDescent="0.25">
      <c r="A226" s="58"/>
      <c r="B226" s="58"/>
    </row>
    <row r="227" spans="1:2" x14ac:dyDescent="0.25">
      <c r="A227" s="58"/>
      <c r="B227" s="58"/>
    </row>
    <row r="228" spans="1:2" x14ac:dyDescent="0.25">
      <c r="A228" s="58"/>
      <c r="B228" s="58"/>
    </row>
    <row r="229" spans="1:2" x14ac:dyDescent="0.25">
      <c r="A229" s="58"/>
      <c r="B229" s="58"/>
    </row>
    <row r="230" spans="1:2" x14ac:dyDescent="0.25">
      <c r="A230" s="58"/>
      <c r="B230" s="58"/>
    </row>
    <row r="231" spans="1:2" x14ac:dyDescent="0.25">
      <c r="A231" s="58"/>
      <c r="B231" s="58"/>
    </row>
    <row r="232" spans="1:2" x14ac:dyDescent="0.25">
      <c r="A232" s="58"/>
      <c r="B232" s="58"/>
    </row>
    <row r="233" spans="1:2" x14ac:dyDescent="0.25">
      <c r="A233" s="58"/>
      <c r="B233" s="58"/>
    </row>
    <row r="234" spans="1:2" x14ac:dyDescent="0.25">
      <c r="A234" s="58"/>
      <c r="B234" s="58"/>
    </row>
    <row r="235" spans="1:2" x14ac:dyDescent="0.25">
      <c r="A235" s="58"/>
      <c r="B235" s="58"/>
    </row>
    <row r="236" spans="1:2" x14ac:dyDescent="0.25">
      <c r="A236" s="58"/>
      <c r="B236" s="58"/>
    </row>
    <row r="237" spans="1:2" x14ac:dyDescent="0.25">
      <c r="A237" s="58"/>
      <c r="B237" s="58"/>
    </row>
    <row r="238" spans="1:2" x14ac:dyDescent="0.25">
      <c r="A238" s="58"/>
      <c r="B238" s="58"/>
    </row>
    <row r="239" spans="1:2" x14ac:dyDescent="0.25">
      <c r="A239" s="58"/>
      <c r="B239" s="58"/>
    </row>
    <row r="240" spans="1:2" x14ac:dyDescent="0.25">
      <c r="A240" s="58"/>
      <c r="B240" s="58"/>
    </row>
    <row r="241" spans="1:2" x14ac:dyDescent="0.25">
      <c r="A241" s="58"/>
      <c r="B241" s="58"/>
    </row>
    <row r="242" spans="1:2" x14ac:dyDescent="0.25">
      <c r="A242" s="58"/>
      <c r="B242" s="58"/>
    </row>
    <row r="243" spans="1:2" x14ac:dyDescent="0.25">
      <c r="A243" s="58"/>
      <c r="B243" s="58"/>
    </row>
    <row r="244" spans="1:2" x14ac:dyDescent="0.25">
      <c r="A244" s="58"/>
      <c r="B244" s="58"/>
    </row>
    <row r="245" spans="1:2" x14ac:dyDescent="0.25">
      <c r="A245" s="58"/>
      <c r="B245" s="58"/>
    </row>
    <row r="246" spans="1:2" x14ac:dyDescent="0.25">
      <c r="A246" s="58"/>
      <c r="B246" s="58"/>
    </row>
    <row r="247" spans="1:2" x14ac:dyDescent="0.25">
      <c r="A247" s="58"/>
      <c r="B247" s="58"/>
    </row>
    <row r="248" spans="1:2" x14ac:dyDescent="0.25">
      <c r="A248" s="58"/>
      <c r="B248" s="58"/>
    </row>
    <row r="249" spans="1:2" x14ac:dyDescent="0.25">
      <c r="A249" s="58"/>
      <c r="B249" s="58"/>
    </row>
    <row r="250" spans="1:2" x14ac:dyDescent="0.25">
      <c r="A250" s="58"/>
      <c r="B250" s="58"/>
    </row>
    <row r="251" spans="1:2" x14ac:dyDescent="0.25">
      <c r="A251" s="58"/>
      <c r="B251" s="58"/>
    </row>
    <row r="252" spans="1:2" x14ac:dyDescent="0.25">
      <c r="A252" s="58"/>
      <c r="B252" s="58"/>
    </row>
    <row r="253" spans="1:2" x14ac:dyDescent="0.25">
      <c r="A253" s="58"/>
      <c r="B253" s="58"/>
    </row>
    <row r="254" spans="1:2" x14ac:dyDescent="0.25">
      <c r="A254" s="58"/>
      <c r="B254" s="58"/>
    </row>
    <row r="255" spans="1:2" x14ac:dyDescent="0.25">
      <c r="A255" s="58"/>
      <c r="B255" s="58"/>
    </row>
    <row r="256" spans="1:2" x14ac:dyDescent="0.25">
      <c r="A256" s="58"/>
      <c r="B256" s="58"/>
    </row>
    <row r="257" spans="1:2" x14ac:dyDescent="0.25">
      <c r="A257" s="58"/>
      <c r="B257" s="58"/>
    </row>
    <row r="258" spans="1:2" x14ac:dyDescent="0.25">
      <c r="A258" s="58"/>
      <c r="B258" s="58"/>
    </row>
    <row r="259" spans="1:2" x14ac:dyDescent="0.25">
      <c r="A259" s="58"/>
      <c r="B259" s="58"/>
    </row>
    <row r="260" spans="1:2" x14ac:dyDescent="0.25">
      <c r="A260" s="58"/>
      <c r="B260" s="58"/>
    </row>
    <row r="261" spans="1:2" x14ac:dyDescent="0.25">
      <c r="A261" s="58"/>
      <c r="B261" s="58"/>
    </row>
    <row r="262" spans="1:2" x14ac:dyDescent="0.25">
      <c r="A262" s="58"/>
      <c r="B262" s="58"/>
    </row>
    <row r="263" spans="1:2" x14ac:dyDescent="0.25">
      <c r="A263" s="58"/>
      <c r="B263" s="58"/>
    </row>
    <row r="264" spans="1:2" x14ac:dyDescent="0.25">
      <c r="A264" s="58"/>
      <c r="B264" s="58"/>
    </row>
    <row r="265" spans="1:2" x14ac:dyDescent="0.25">
      <c r="A265" s="58"/>
      <c r="B265" s="58"/>
    </row>
    <row r="266" spans="1:2" x14ac:dyDescent="0.25">
      <c r="A266" s="58"/>
      <c r="B266" s="58"/>
    </row>
    <row r="267" spans="1:2" x14ac:dyDescent="0.25">
      <c r="A267" s="58"/>
      <c r="B267" s="58"/>
    </row>
    <row r="268" spans="1:2" x14ac:dyDescent="0.25">
      <c r="A268" s="58"/>
      <c r="B268" s="58"/>
    </row>
    <row r="269" spans="1:2" x14ac:dyDescent="0.25">
      <c r="A269" s="58"/>
      <c r="B269" s="58"/>
    </row>
    <row r="270" spans="1:2" x14ac:dyDescent="0.25">
      <c r="A270" s="58"/>
      <c r="B270" s="58"/>
    </row>
    <row r="271" spans="1:2" x14ac:dyDescent="0.25">
      <c r="A271" s="58"/>
      <c r="B271" s="58"/>
    </row>
    <row r="272" spans="1:2" x14ac:dyDescent="0.25">
      <c r="A272" s="58"/>
      <c r="B272" s="58"/>
    </row>
    <row r="273" spans="1:2" x14ac:dyDescent="0.25">
      <c r="A273" s="58"/>
      <c r="B273" s="58"/>
    </row>
    <row r="274" spans="1:2" x14ac:dyDescent="0.25">
      <c r="A274" s="58"/>
      <c r="B274" s="58"/>
    </row>
    <row r="275" spans="1:2" x14ac:dyDescent="0.25">
      <c r="A275" s="58"/>
      <c r="B275" s="58"/>
    </row>
    <row r="276" spans="1:2" x14ac:dyDescent="0.25">
      <c r="A276" s="58"/>
      <c r="B276" s="58"/>
    </row>
    <row r="277" spans="1:2" x14ac:dyDescent="0.25">
      <c r="A277" s="58"/>
      <c r="B277" s="58"/>
    </row>
    <row r="278" spans="1:2" x14ac:dyDescent="0.25">
      <c r="A278" s="58"/>
      <c r="B278" s="58"/>
    </row>
    <row r="279" spans="1:2" x14ac:dyDescent="0.25">
      <c r="A279" s="58"/>
      <c r="B279" s="58"/>
    </row>
    <row r="280" spans="1:2" x14ac:dyDescent="0.25">
      <c r="A280" s="58"/>
      <c r="B280" s="58"/>
    </row>
    <row r="281" spans="1:2" x14ac:dyDescent="0.25">
      <c r="A281" s="58"/>
      <c r="B281" s="58"/>
    </row>
    <row r="282" spans="1:2" x14ac:dyDescent="0.25">
      <c r="A282" s="58"/>
      <c r="B282" s="58"/>
    </row>
    <row r="283" spans="1:2" x14ac:dyDescent="0.25">
      <c r="A283" s="58"/>
      <c r="B283" s="58"/>
    </row>
    <row r="284" spans="1:2" x14ac:dyDescent="0.25">
      <c r="A284" s="58"/>
      <c r="B284" s="58"/>
    </row>
    <row r="285" spans="1:2" x14ac:dyDescent="0.25">
      <c r="A285" s="58"/>
      <c r="B285" s="58"/>
    </row>
    <row r="286" spans="1:2" x14ac:dyDescent="0.25">
      <c r="A286" s="58"/>
      <c r="B286" s="58"/>
    </row>
    <row r="287" spans="1:2" x14ac:dyDescent="0.25">
      <c r="A287" s="58"/>
      <c r="B287" s="58"/>
    </row>
    <row r="288" spans="1:2" x14ac:dyDescent="0.25">
      <c r="A288" s="58"/>
      <c r="B288" s="58"/>
    </row>
    <row r="289" spans="1:2" x14ac:dyDescent="0.25">
      <c r="A289" s="58"/>
      <c r="B289" s="58"/>
    </row>
    <row r="290" spans="1:2" x14ac:dyDescent="0.25">
      <c r="A290" s="58"/>
      <c r="B290" s="58"/>
    </row>
    <row r="291" spans="1:2" x14ac:dyDescent="0.25">
      <c r="A291" s="58"/>
      <c r="B291" s="58"/>
    </row>
    <row r="292" spans="1:2" x14ac:dyDescent="0.25">
      <c r="A292" s="58"/>
      <c r="B292" s="58"/>
    </row>
    <row r="293" spans="1:2" x14ac:dyDescent="0.25">
      <c r="A293" s="58"/>
      <c r="B293" s="58"/>
    </row>
    <row r="294" spans="1:2" x14ac:dyDescent="0.25">
      <c r="A294" s="58"/>
      <c r="B294" s="58"/>
    </row>
    <row r="295" spans="1:2" x14ac:dyDescent="0.25">
      <c r="A295" s="58"/>
      <c r="B295" s="58"/>
    </row>
    <row r="296" spans="1:2" x14ac:dyDescent="0.25">
      <c r="A296" s="58"/>
      <c r="B296" s="58"/>
    </row>
    <row r="297" spans="1:2" x14ac:dyDescent="0.25">
      <c r="A297" s="58"/>
      <c r="B297" s="58"/>
    </row>
    <row r="298" spans="1:2" x14ac:dyDescent="0.25">
      <c r="A298" s="58"/>
      <c r="B298" s="58"/>
    </row>
    <row r="299" spans="1:2" x14ac:dyDescent="0.25">
      <c r="A299" s="58"/>
      <c r="B299" s="58"/>
    </row>
    <row r="300" spans="1:2" x14ac:dyDescent="0.25">
      <c r="A300" s="58"/>
      <c r="B300" s="58"/>
    </row>
    <row r="301" spans="1:2" x14ac:dyDescent="0.25">
      <c r="A301" s="58"/>
      <c r="B301" s="58"/>
    </row>
    <row r="302" spans="1:2" x14ac:dyDescent="0.25">
      <c r="A302" s="58"/>
      <c r="B302" s="58"/>
    </row>
    <row r="303" spans="1:2" x14ac:dyDescent="0.25">
      <c r="A303" s="58"/>
      <c r="B303" s="58"/>
    </row>
    <row r="304" spans="1:2" x14ac:dyDescent="0.25">
      <c r="A304" s="58"/>
      <c r="B304" s="58"/>
    </row>
    <row r="305" spans="1:2" x14ac:dyDescent="0.25">
      <c r="A305" s="58"/>
      <c r="B305" s="58"/>
    </row>
    <row r="306" spans="1:2" x14ac:dyDescent="0.25">
      <c r="A306" s="58"/>
      <c r="B306" s="58"/>
    </row>
    <row r="307" spans="1:2" x14ac:dyDescent="0.25">
      <c r="A307" s="58"/>
      <c r="B307" s="58"/>
    </row>
    <row r="308" spans="1:2" x14ac:dyDescent="0.25">
      <c r="A308" s="58"/>
      <c r="B308" s="58"/>
    </row>
    <row r="309" spans="1:2" x14ac:dyDescent="0.25">
      <c r="A309" s="58"/>
      <c r="B309" s="58"/>
    </row>
    <row r="310" spans="1:2" x14ac:dyDescent="0.25">
      <c r="A310" s="58"/>
      <c r="B310" s="58"/>
    </row>
    <row r="311" spans="1:2" x14ac:dyDescent="0.25">
      <c r="A311" s="58"/>
      <c r="B311" s="58"/>
    </row>
    <row r="312" spans="1:2" x14ac:dyDescent="0.25">
      <c r="A312" s="58"/>
      <c r="B312" s="58"/>
    </row>
    <row r="313" spans="1:2" x14ac:dyDescent="0.25">
      <c r="A313" s="58"/>
      <c r="B313" s="58"/>
    </row>
    <row r="314" spans="1:2" x14ac:dyDescent="0.25">
      <c r="A314" s="58"/>
      <c r="B314" s="58"/>
    </row>
    <row r="315" spans="1:2" x14ac:dyDescent="0.25">
      <c r="A315" s="58"/>
      <c r="B315" s="58"/>
    </row>
    <row r="316" spans="1:2" x14ac:dyDescent="0.25">
      <c r="A316" s="58"/>
      <c r="B316" s="58"/>
    </row>
    <row r="317" spans="1:2" x14ac:dyDescent="0.25">
      <c r="A317" s="58"/>
      <c r="B317" s="58"/>
    </row>
    <row r="318" spans="1:2" x14ac:dyDescent="0.25">
      <c r="A318" s="58"/>
      <c r="B318" s="58"/>
    </row>
    <row r="319" spans="1:2" x14ac:dyDescent="0.25">
      <c r="A319" s="58"/>
      <c r="B319" s="58"/>
    </row>
    <row r="320" spans="1:2" x14ac:dyDescent="0.25">
      <c r="A320" s="58"/>
      <c r="B320" s="58"/>
    </row>
    <row r="321" spans="1:2" x14ac:dyDescent="0.25">
      <c r="A321" s="58"/>
      <c r="B321" s="58"/>
    </row>
    <row r="322" spans="1:2" x14ac:dyDescent="0.25">
      <c r="A322" s="58"/>
      <c r="B322" s="58"/>
    </row>
    <row r="323" spans="1:2" x14ac:dyDescent="0.25">
      <c r="A323" s="58"/>
      <c r="B323" s="58"/>
    </row>
    <row r="324" spans="1:2" x14ac:dyDescent="0.25">
      <c r="A324" s="58"/>
      <c r="B324" s="58"/>
    </row>
    <row r="325" spans="1:2" x14ac:dyDescent="0.25">
      <c r="A325" s="58"/>
      <c r="B325" s="58"/>
    </row>
    <row r="326" spans="1:2" x14ac:dyDescent="0.25">
      <c r="A326" s="58"/>
      <c r="B326" s="58"/>
    </row>
    <row r="327" spans="1:2" x14ac:dyDescent="0.25">
      <c r="A327" s="58"/>
      <c r="B327" s="58"/>
    </row>
    <row r="328" spans="1:2" x14ac:dyDescent="0.25">
      <c r="A328" s="58"/>
      <c r="B328" s="58"/>
    </row>
    <row r="329" spans="1:2" x14ac:dyDescent="0.25">
      <c r="A329" s="58"/>
      <c r="B329" s="58"/>
    </row>
    <row r="330" spans="1:2" x14ac:dyDescent="0.25">
      <c r="A330" s="58"/>
      <c r="B330" s="58"/>
    </row>
    <row r="331" spans="1:2" x14ac:dyDescent="0.25">
      <c r="A331" s="58"/>
      <c r="B331" s="58"/>
    </row>
    <row r="332" spans="1:2" x14ac:dyDescent="0.25">
      <c r="A332" s="58"/>
      <c r="B332" s="58"/>
    </row>
    <row r="333" spans="1:2" x14ac:dyDescent="0.25">
      <c r="A333" s="58"/>
      <c r="B333" s="58"/>
    </row>
    <row r="334" spans="1:2" x14ac:dyDescent="0.25">
      <c r="A334" s="58"/>
      <c r="B334" s="58"/>
    </row>
    <row r="335" spans="1:2" x14ac:dyDescent="0.25">
      <c r="A335" s="58"/>
      <c r="B335" s="58"/>
    </row>
    <row r="336" spans="1:2" x14ac:dyDescent="0.25">
      <c r="A336" s="58"/>
      <c r="B336" s="58"/>
    </row>
    <row r="337" spans="1:2" x14ac:dyDescent="0.25">
      <c r="A337" s="58"/>
      <c r="B337" s="58"/>
    </row>
    <row r="338" spans="1:2" x14ac:dyDescent="0.25">
      <c r="A338" s="58"/>
      <c r="B338" s="58"/>
    </row>
    <row r="339" spans="1:2" x14ac:dyDescent="0.25">
      <c r="A339" s="58"/>
      <c r="B339" s="58"/>
    </row>
    <row r="340" spans="1:2" x14ac:dyDescent="0.25">
      <c r="A340" s="58"/>
      <c r="B340" s="58"/>
    </row>
    <row r="341" spans="1:2" x14ac:dyDescent="0.25">
      <c r="A341" s="58"/>
      <c r="B341" s="58"/>
    </row>
    <row r="342" spans="1:2" x14ac:dyDescent="0.25">
      <c r="A342" s="58"/>
      <c r="B342" s="58"/>
    </row>
    <row r="343" spans="1:2" x14ac:dyDescent="0.25">
      <c r="A343" s="58"/>
      <c r="B343" s="58"/>
    </row>
    <row r="344" spans="1:2" x14ac:dyDescent="0.25">
      <c r="A344" s="58"/>
      <c r="B344" s="58"/>
    </row>
    <row r="345" spans="1:2" x14ac:dyDescent="0.25">
      <c r="A345" s="58"/>
      <c r="B345" s="58"/>
    </row>
    <row r="346" spans="1:2" x14ac:dyDescent="0.25">
      <c r="A346" s="58"/>
      <c r="B346" s="58"/>
    </row>
    <row r="347" spans="1:2" x14ac:dyDescent="0.25">
      <c r="A347" s="58"/>
      <c r="B347" s="58"/>
    </row>
    <row r="348" spans="1:2" x14ac:dyDescent="0.25">
      <c r="A348" s="58"/>
      <c r="B348" s="58"/>
    </row>
    <row r="349" spans="1:2" x14ac:dyDescent="0.25">
      <c r="A349" s="58"/>
      <c r="B349" s="58"/>
    </row>
    <row r="350" spans="1:2" x14ac:dyDescent="0.25">
      <c r="A350" s="58"/>
      <c r="B350" s="58"/>
    </row>
    <row r="351" spans="1:2" x14ac:dyDescent="0.25">
      <c r="A351" s="58"/>
      <c r="B351" s="58"/>
    </row>
    <row r="352" spans="1:2" x14ac:dyDescent="0.25">
      <c r="A352" s="58"/>
      <c r="B352" s="58"/>
    </row>
    <row r="353" spans="1:2" x14ac:dyDescent="0.25">
      <c r="A353" s="58"/>
      <c r="B353" s="58"/>
    </row>
    <row r="354" spans="1:2" x14ac:dyDescent="0.25">
      <c r="A354" s="58"/>
      <c r="B354" s="58"/>
    </row>
    <row r="355" spans="1:2" x14ac:dyDescent="0.25">
      <c r="A355" s="58"/>
      <c r="B355" s="58"/>
    </row>
    <row r="356" spans="1:2" x14ac:dyDescent="0.25">
      <c r="A356" s="58"/>
      <c r="B356" s="58"/>
    </row>
    <row r="357" spans="1:2" x14ac:dyDescent="0.25">
      <c r="A357" s="58"/>
      <c r="B357" s="58"/>
    </row>
    <row r="358" spans="1:2" x14ac:dyDescent="0.25">
      <c r="A358" s="58"/>
      <c r="B358" s="58"/>
    </row>
    <row r="359" spans="1:2" x14ac:dyDescent="0.25">
      <c r="A359" s="58"/>
      <c r="B359" s="58"/>
    </row>
    <row r="360" spans="1:2" x14ac:dyDescent="0.25">
      <c r="A360" s="58"/>
      <c r="B360" s="58"/>
    </row>
    <row r="361" spans="1:2" x14ac:dyDescent="0.25">
      <c r="A361" s="58"/>
      <c r="B361" s="58"/>
    </row>
    <row r="362" spans="1:2" x14ac:dyDescent="0.25">
      <c r="A362" s="58"/>
      <c r="B362" s="58"/>
    </row>
    <row r="363" spans="1:2" x14ac:dyDescent="0.25">
      <c r="A363" s="58"/>
      <c r="B363" s="58"/>
    </row>
    <row r="364" spans="1:2" x14ac:dyDescent="0.25">
      <c r="A364" s="58"/>
      <c r="B364" s="58"/>
    </row>
    <row r="365" spans="1:2" x14ac:dyDescent="0.25">
      <c r="A365" s="58"/>
      <c r="B365" s="58"/>
    </row>
    <row r="366" spans="1:2" x14ac:dyDescent="0.25">
      <c r="A366" s="58"/>
      <c r="B366" s="58"/>
    </row>
    <row r="367" spans="1:2" x14ac:dyDescent="0.25">
      <c r="A367" s="58"/>
      <c r="B367" s="58"/>
    </row>
    <row r="368" spans="1:2" x14ac:dyDescent="0.25">
      <c r="A368" s="58"/>
      <c r="B368" s="58"/>
    </row>
    <row r="369" spans="1:2" x14ac:dyDescent="0.25">
      <c r="A369" s="58"/>
      <c r="B369" s="58"/>
    </row>
    <row r="370" spans="1:2" x14ac:dyDescent="0.25">
      <c r="A370" s="58"/>
      <c r="B370" s="58"/>
    </row>
    <row r="371" spans="1:2" x14ac:dyDescent="0.25">
      <c r="A371" s="58"/>
      <c r="B371" s="58"/>
    </row>
    <row r="372" spans="1:2" x14ac:dyDescent="0.25">
      <c r="A372" s="58"/>
      <c r="B372" s="58"/>
    </row>
    <row r="373" spans="1:2" x14ac:dyDescent="0.25">
      <c r="A373" s="58"/>
      <c r="B373" s="58"/>
    </row>
    <row r="374" spans="1:2" x14ac:dyDescent="0.25">
      <c r="A374" s="58"/>
      <c r="B374" s="58"/>
    </row>
    <row r="375" spans="1:2" x14ac:dyDescent="0.25">
      <c r="A375" s="58"/>
      <c r="B375" s="58"/>
    </row>
    <row r="376" spans="1:2" x14ac:dyDescent="0.25">
      <c r="A376" s="58"/>
      <c r="B376" s="58"/>
    </row>
    <row r="377" spans="1:2" x14ac:dyDescent="0.25">
      <c r="A377" s="58"/>
      <c r="B377" s="58"/>
    </row>
    <row r="378" spans="1:2" x14ac:dyDescent="0.25">
      <c r="A378" s="58"/>
      <c r="B378" s="58"/>
    </row>
    <row r="379" spans="1:2" x14ac:dyDescent="0.25">
      <c r="A379" s="58"/>
      <c r="B379" s="58"/>
    </row>
    <row r="380" spans="1:2" x14ac:dyDescent="0.25">
      <c r="A380" s="58"/>
      <c r="B380" s="58"/>
    </row>
    <row r="381" spans="1:2" x14ac:dyDescent="0.25">
      <c r="A381" s="58"/>
      <c r="B381" s="58"/>
    </row>
    <row r="382" spans="1:2" x14ac:dyDescent="0.25">
      <c r="A382" s="58"/>
      <c r="B382" s="58"/>
    </row>
    <row r="383" spans="1:2" x14ac:dyDescent="0.25">
      <c r="A383" s="58"/>
      <c r="B383" s="58"/>
    </row>
    <row r="384" spans="1:2" x14ac:dyDescent="0.25">
      <c r="A384" s="58"/>
      <c r="B384" s="58"/>
    </row>
    <row r="385" spans="1:2" x14ac:dyDescent="0.25">
      <c r="A385" s="58"/>
      <c r="B385" s="58"/>
    </row>
    <row r="386" spans="1:2" x14ac:dyDescent="0.25">
      <c r="A386" s="58"/>
      <c r="B386" s="58"/>
    </row>
    <row r="387" spans="1:2" x14ac:dyDescent="0.25">
      <c r="A387" s="58"/>
      <c r="B387" s="58"/>
    </row>
    <row r="388" spans="1:2" x14ac:dyDescent="0.25">
      <c r="A388" s="58"/>
      <c r="B388" s="58"/>
    </row>
    <row r="389" spans="1:2" x14ac:dyDescent="0.25">
      <c r="A389" s="58"/>
      <c r="B389" s="58"/>
    </row>
    <row r="390" spans="1:2" x14ac:dyDescent="0.25">
      <c r="A390" s="58"/>
      <c r="B390" s="58"/>
    </row>
    <row r="391" spans="1:2" x14ac:dyDescent="0.25">
      <c r="A391" s="58"/>
      <c r="B391" s="58"/>
    </row>
    <row r="392" spans="1:2" x14ac:dyDescent="0.25">
      <c r="A392" s="58"/>
      <c r="B392" s="58"/>
    </row>
    <row r="393" spans="1:2" x14ac:dyDescent="0.25">
      <c r="A393" s="58"/>
      <c r="B393" s="58"/>
    </row>
    <row r="394" spans="1:2" x14ac:dyDescent="0.25">
      <c r="A394" s="58"/>
      <c r="B394" s="58"/>
    </row>
    <row r="395" spans="1:2" x14ac:dyDescent="0.25">
      <c r="A395" s="58"/>
      <c r="B395" s="58"/>
    </row>
    <row r="396" spans="1:2" x14ac:dyDescent="0.25">
      <c r="A396" s="58"/>
      <c r="B396" s="58"/>
    </row>
    <row r="397" spans="1:2" x14ac:dyDescent="0.25">
      <c r="A397" s="58"/>
      <c r="B397" s="58"/>
    </row>
    <row r="398" spans="1:2" x14ac:dyDescent="0.25">
      <c r="A398" s="58"/>
      <c r="B398" s="58"/>
    </row>
    <row r="399" spans="1:2" x14ac:dyDescent="0.25">
      <c r="A399" s="58"/>
      <c r="B399" s="58"/>
    </row>
    <row r="400" spans="1:2" x14ac:dyDescent="0.25">
      <c r="A400" s="58"/>
      <c r="B400" s="58"/>
    </row>
    <row r="401" spans="1:2" x14ac:dyDescent="0.25">
      <c r="A401" s="58"/>
      <c r="B401" s="58"/>
    </row>
    <row r="402" spans="1:2" x14ac:dyDescent="0.25">
      <c r="A402" s="58"/>
      <c r="B402" s="58"/>
    </row>
    <row r="403" spans="1:2" x14ac:dyDescent="0.25">
      <c r="A403" s="58"/>
      <c r="B403" s="58"/>
    </row>
    <row r="404" spans="1:2" x14ac:dyDescent="0.25">
      <c r="A404" s="58"/>
      <c r="B404" s="58"/>
    </row>
    <row r="405" spans="1:2" x14ac:dyDescent="0.25">
      <c r="A405" s="58"/>
      <c r="B405" s="58"/>
    </row>
    <row r="406" spans="1:2" x14ac:dyDescent="0.25">
      <c r="A406" s="58"/>
      <c r="B406" s="58"/>
    </row>
    <row r="407" spans="1:2" x14ac:dyDescent="0.25">
      <c r="A407" s="58"/>
      <c r="B407" s="58"/>
    </row>
    <row r="408" spans="1:2" x14ac:dyDescent="0.25">
      <c r="A408" s="58"/>
      <c r="B408" s="58"/>
    </row>
    <row r="409" spans="1:2" x14ac:dyDescent="0.25">
      <c r="A409" s="58"/>
      <c r="B409" s="58"/>
    </row>
    <row r="410" spans="1:2" x14ac:dyDescent="0.25">
      <c r="A410" s="58"/>
      <c r="B410" s="58"/>
    </row>
    <row r="411" spans="1:2" x14ac:dyDescent="0.25">
      <c r="A411" s="58"/>
      <c r="B411" s="58"/>
    </row>
    <row r="412" spans="1:2" x14ac:dyDescent="0.25">
      <c r="A412" s="58"/>
      <c r="B412" s="58"/>
    </row>
    <row r="413" spans="1:2" x14ac:dyDescent="0.25">
      <c r="A413" s="58"/>
      <c r="B413" s="58"/>
    </row>
    <row r="414" spans="1:2" x14ac:dyDescent="0.25">
      <c r="A414" s="58"/>
      <c r="B414" s="58"/>
    </row>
    <row r="415" spans="1:2" x14ac:dyDescent="0.25">
      <c r="A415" s="58"/>
      <c r="B415" s="58"/>
    </row>
    <row r="416" spans="1:2" x14ac:dyDescent="0.25">
      <c r="A416" s="58"/>
      <c r="B416" s="58"/>
    </row>
    <row r="417" spans="1:2" x14ac:dyDescent="0.25">
      <c r="A417" s="58"/>
      <c r="B417" s="58"/>
    </row>
    <row r="418" spans="1:2" x14ac:dyDescent="0.25">
      <c r="A418" s="58"/>
      <c r="B418" s="58"/>
    </row>
    <row r="419" spans="1:2" x14ac:dyDescent="0.25">
      <c r="A419" s="58"/>
      <c r="B419" s="58"/>
    </row>
    <row r="420" spans="1:2" x14ac:dyDescent="0.25">
      <c r="A420" s="58"/>
      <c r="B420" s="58"/>
    </row>
    <row r="421" spans="1:2" x14ac:dyDescent="0.25">
      <c r="A421" s="58"/>
      <c r="B421" s="58"/>
    </row>
    <row r="422" spans="1:2" x14ac:dyDescent="0.25">
      <c r="A422" s="58"/>
      <c r="B422" s="58"/>
    </row>
    <row r="423" spans="1:2" x14ac:dyDescent="0.25">
      <c r="A423" s="58"/>
      <c r="B423" s="58"/>
    </row>
    <row r="424" spans="1:2" x14ac:dyDescent="0.25">
      <c r="A424" s="58"/>
      <c r="B424" s="58"/>
    </row>
    <row r="425" spans="1:2" x14ac:dyDescent="0.25">
      <c r="A425" s="58"/>
      <c r="B425" s="58"/>
    </row>
    <row r="426" spans="1:2" x14ac:dyDescent="0.25">
      <c r="A426" s="58"/>
      <c r="B426" s="58"/>
    </row>
    <row r="427" spans="1:2" x14ac:dyDescent="0.25">
      <c r="A427" s="58"/>
      <c r="B427" s="58"/>
    </row>
    <row r="428" spans="1:2" x14ac:dyDescent="0.25">
      <c r="A428" s="58"/>
      <c r="B428" s="58"/>
    </row>
    <row r="429" spans="1:2" x14ac:dyDescent="0.25">
      <c r="A429" s="58"/>
      <c r="B429" s="58"/>
    </row>
    <row r="430" spans="1:2" x14ac:dyDescent="0.25">
      <c r="A430" s="58"/>
      <c r="B430" s="58"/>
    </row>
    <row r="431" spans="1:2" x14ac:dyDescent="0.25">
      <c r="A431" s="58"/>
      <c r="B431" s="58"/>
    </row>
    <row r="432" spans="1:2" x14ac:dyDescent="0.25">
      <c r="A432" s="58"/>
      <c r="B432" s="58"/>
    </row>
    <row r="433" spans="1:2" x14ac:dyDescent="0.25">
      <c r="A433" s="58"/>
      <c r="B433" s="58"/>
    </row>
    <row r="434" spans="1:2" x14ac:dyDescent="0.25">
      <c r="A434" s="58"/>
      <c r="B434" s="58"/>
    </row>
    <row r="435" spans="1:2" x14ac:dyDescent="0.25">
      <c r="A435" s="58"/>
      <c r="B435" s="58"/>
    </row>
    <row r="436" spans="1:2" x14ac:dyDescent="0.25">
      <c r="A436" s="58"/>
      <c r="B436" s="58"/>
    </row>
    <row r="437" spans="1:2" x14ac:dyDescent="0.25">
      <c r="A437" s="58"/>
      <c r="B437" s="58"/>
    </row>
    <row r="438" spans="1:2" x14ac:dyDescent="0.25">
      <c r="A438" s="58"/>
      <c r="B438" s="58"/>
    </row>
    <row r="439" spans="1:2" x14ac:dyDescent="0.25">
      <c r="A439" s="58"/>
      <c r="B439" s="58"/>
    </row>
    <row r="440" spans="1:2" x14ac:dyDescent="0.25">
      <c r="A440" s="58"/>
      <c r="B440" s="58"/>
    </row>
    <row r="441" spans="1:2" x14ac:dyDescent="0.25">
      <c r="A441" s="58"/>
      <c r="B441" s="58"/>
    </row>
    <row r="442" spans="1:2" x14ac:dyDescent="0.25">
      <c r="A442" s="58"/>
      <c r="B442" s="58"/>
    </row>
    <row r="443" spans="1:2" x14ac:dyDescent="0.25">
      <c r="A443" s="58"/>
      <c r="B443" s="58"/>
    </row>
    <row r="444" spans="1:2" x14ac:dyDescent="0.25">
      <c r="A444" s="58"/>
      <c r="B444" s="58"/>
    </row>
    <row r="445" spans="1:2" x14ac:dyDescent="0.25">
      <c r="A445" s="58"/>
      <c r="B445" s="58"/>
    </row>
    <row r="446" spans="1:2" x14ac:dyDescent="0.25">
      <c r="A446" s="58"/>
      <c r="B446" s="58"/>
    </row>
    <row r="447" spans="1:2" x14ac:dyDescent="0.25">
      <c r="A447" s="58"/>
      <c r="B447" s="58"/>
    </row>
    <row r="448" spans="1:2" x14ac:dyDescent="0.25">
      <c r="A448" s="58"/>
      <c r="B448" s="58"/>
    </row>
    <row r="449" spans="1:2" x14ac:dyDescent="0.25">
      <c r="A449" s="58"/>
      <c r="B449" s="58"/>
    </row>
    <row r="450" spans="1:2" x14ac:dyDescent="0.25">
      <c r="A450" s="58"/>
      <c r="B450" s="58"/>
    </row>
    <row r="451" spans="1:2" x14ac:dyDescent="0.25">
      <c r="A451" s="58"/>
      <c r="B451" s="58"/>
    </row>
    <row r="452" spans="1:2" x14ac:dyDescent="0.25">
      <c r="A452" s="58"/>
      <c r="B452" s="58"/>
    </row>
    <row r="453" spans="1:2" x14ac:dyDescent="0.25">
      <c r="A453" s="58"/>
      <c r="B453" s="58"/>
    </row>
    <row r="454" spans="1:2" x14ac:dyDescent="0.25">
      <c r="A454" s="58"/>
      <c r="B454" s="58"/>
    </row>
    <row r="455" spans="1:2" x14ac:dyDescent="0.25">
      <c r="A455" s="58"/>
      <c r="B455" s="58"/>
    </row>
    <row r="456" spans="1:2" x14ac:dyDescent="0.25">
      <c r="A456" s="58"/>
      <c r="B456" s="58"/>
    </row>
    <row r="457" spans="1:2" x14ac:dyDescent="0.25">
      <c r="A457" s="58"/>
      <c r="B457" s="58"/>
    </row>
    <row r="458" spans="1:2" x14ac:dyDescent="0.25">
      <c r="A458" s="58"/>
      <c r="B458" s="58"/>
    </row>
    <row r="459" spans="1:2" x14ac:dyDescent="0.25">
      <c r="A459" s="58"/>
      <c r="B459" s="58"/>
    </row>
    <row r="460" spans="1:2" x14ac:dyDescent="0.25">
      <c r="A460" s="58"/>
      <c r="B460" s="58"/>
    </row>
    <row r="461" spans="1:2" x14ac:dyDescent="0.25">
      <c r="A461" s="58"/>
      <c r="B461" s="58"/>
    </row>
    <row r="462" spans="1:2" x14ac:dyDescent="0.25">
      <c r="A462" s="58"/>
      <c r="B462" s="58"/>
    </row>
    <row r="463" spans="1:2" x14ac:dyDescent="0.25">
      <c r="A463" s="58"/>
      <c r="B463" s="58"/>
    </row>
    <row r="464" spans="1:2" x14ac:dyDescent="0.25">
      <c r="A464" s="58"/>
      <c r="B464" s="58"/>
    </row>
    <row r="465" spans="1:2" x14ac:dyDescent="0.25">
      <c r="A465" s="58"/>
      <c r="B465" s="58"/>
    </row>
    <row r="466" spans="1:2" x14ac:dyDescent="0.25">
      <c r="A466" s="58"/>
      <c r="B466" s="58"/>
    </row>
    <row r="467" spans="1:2" x14ac:dyDescent="0.25">
      <c r="A467" s="58"/>
      <c r="B467" s="58"/>
    </row>
    <row r="468" spans="1:2" x14ac:dyDescent="0.25">
      <c r="A468" s="58"/>
      <c r="B468" s="58"/>
    </row>
    <row r="469" spans="1:2" x14ac:dyDescent="0.25">
      <c r="A469" s="58"/>
      <c r="B469" s="58"/>
    </row>
    <row r="470" spans="1:2" x14ac:dyDescent="0.25">
      <c r="A470" s="58"/>
      <c r="B470" s="58"/>
    </row>
    <row r="471" spans="1:2" x14ac:dyDescent="0.25">
      <c r="A471" s="58"/>
      <c r="B471" s="58"/>
    </row>
    <row r="472" spans="1:2" x14ac:dyDescent="0.25">
      <c r="A472" s="58"/>
      <c r="B472" s="58"/>
    </row>
    <row r="473" spans="1:2" x14ac:dyDescent="0.25">
      <c r="A473" s="58"/>
      <c r="B473" s="58"/>
    </row>
    <row r="474" spans="1:2" x14ac:dyDescent="0.25">
      <c r="A474" s="58"/>
      <c r="B474" s="58"/>
    </row>
    <row r="475" spans="1:2" x14ac:dyDescent="0.25">
      <c r="A475" s="58"/>
      <c r="B475" s="58"/>
    </row>
    <row r="476" spans="1:2" x14ac:dyDescent="0.25">
      <c r="A476" s="58"/>
      <c r="B476" s="58"/>
    </row>
    <row r="477" spans="1:2" x14ac:dyDescent="0.25">
      <c r="A477" s="58"/>
      <c r="B477" s="58"/>
    </row>
    <row r="478" spans="1:2" x14ac:dyDescent="0.25">
      <c r="A478" s="58"/>
      <c r="B478" s="58"/>
    </row>
    <row r="479" spans="1:2" x14ac:dyDescent="0.25">
      <c r="A479" s="58"/>
      <c r="B479" s="58"/>
    </row>
    <row r="480" spans="1:2" x14ac:dyDescent="0.25">
      <c r="A480" s="58"/>
      <c r="B480" s="58"/>
    </row>
    <row r="481" spans="1:2" x14ac:dyDescent="0.25">
      <c r="A481" s="58"/>
      <c r="B481" s="58"/>
    </row>
    <row r="482" spans="1:2" x14ac:dyDescent="0.25">
      <c r="A482" s="58"/>
      <c r="B482" s="58"/>
    </row>
    <row r="483" spans="1:2" x14ac:dyDescent="0.25">
      <c r="A483" s="58"/>
      <c r="B483" s="58"/>
    </row>
    <row r="484" spans="1:2" x14ac:dyDescent="0.25">
      <c r="A484" s="58"/>
      <c r="B484" s="58"/>
    </row>
    <row r="485" spans="1:2" x14ac:dyDescent="0.25">
      <c r="A485" s="58"/>
      <c r="B485" s="58"/>
    </row>
    <row r="486" spans="1:2" x14ac:dyDescent="0.25">
      <c r="A486" s="58"/>
      <c r="B486" s="58"/>
    </row>
    <row r="487" spans="1:2" x14ac:dyDescent="0.25">
      <c r="A487" s="58"/>
      <c r="B487" s="58"/>
    </row>
    <row r="488" spans="1:2" x14ac:dyDescent="0.25">
      <c r="A488" s="58"/>
      <c r="B488" s="58"/>
    </row>
    <row r="489" spans="1:2" x14ac:dyDescent="0.25">
      <c r="A489" s="58"/>
      <c r="B489" s="58"/>
    </row>
    <row r="490" spans="1:2" x14ac:dyDescent="0.25">
      <c r="A490" s="58"/>
      <c r="B490" s="58"/>
    </row>
    <row r="491" spans="1:2" x14ac:dyDescent="0.25">
      <c r="A491" s="58"/>
      <c r="B49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D21:H21"/>
    <mergeCell ref="D22:H22"/>
    <mergeCell ref="D23:H23"/>
  </mergeCells>
  <dataValidations count="1">
    <dataValidation type="decimal" allowBlank="1" showInputMessage="1" showErrorMessage="1" sqref="E3" xr:uid="{2C2C9222-572B-42C9-A965-7F8242A0ED6B}">
      <formula1>0</formula1>
      <formula2>1</formula2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8"/>
  <sheetViews>
    <sheetView workbookViewId="0">
      <selection activeCell="G19" sqref="G19"/>
    </sheetView>
  </sheetViews>
  <sheetFormatPr defaultColWidth="9.109375" defaultRowHeight="13.2" x14ac:dyDescent="0.25"/>
  <cols>
    <col min="1" max="1" width="7.5546875" style="2" customWidth="1"/>
    <col min="2" max="3" width="12.44140625" style="2" customWidth="1"/>
    <col min="4" max="5" width="6.109375" style="2" hidden="1" customWidth="1"/>
    <col min="6" max="6" width="4.44140625" style="2" customWidth="1"/>
    <col min="7" max="7" width="34.5546875" style="2" bestFit="1" customWidth="1"/>
    <col min="8" max="8" width="12.5546875" style="2" customWidth="1"/>
    <col min="9" max="9" width="12.44140625" style="2" bestFit="1" customWidth="1"/>
    <col min="10" max="10" width="9.109375" style="2"/>
    <col min="11" max="11" width="33.6640625" style="2" customWidth="1"/>
    <col min="12" max="16384" width="9.109375" style="2"/>
  </cols>
  <sheetData>
    <row r="1" spans="1:11" s="25" customFormat="1" ht="21" x14ac:dyDescent="0.4">
      <c r="A1" s="4" t="s">
        <v>17</v>
      </c>
      <c r="B1" s="24"/>
      <c r="C1" s="23"/>
      <c r="D1" s="23"/>
      <c r="E1" s="23"/>
      <c r="F1" s="23"/>
      <c r="G1" s="24"/>
      <c r="H1" s="24"/>
      <c r="I1" s="24"/>
    </row>
    <row r="2" spans="1:11" ht="12.75" customHeight="1" x14ac:dyDescent="0.4">
      <c r="G2" s="26"/>
      <c r="H2" s="27"/>
      <c r="I2" s="27"/>
    </row>
    <row r="3" spans="1:11" ht="12.75" customHeight="1" thickBot="1" x14ac:dyDescent="0.3">
      <c r="A3" s="36" t="s">
        <v>18</v>
      </c>
      <c r="B3" s="307" t="s">
        <v>277</v>
      </c>
      <c r="C3" s="308" t="s">
        <v>278</v>
      </c>
      <c r="G3" s="5" t="s">
        <v>0</v>
      </c>
      <c r="H3" s="37">
        <v>0.05</v>
      </c>
      <c r="I3" s="27"/>
    </row>
    <row r="4" spans="1:11" ht="12.75" customHeight="1" x14ac:dyDescent="0.25">
      <c r="A4" s="38">
        <v>1</v>
      </c>
      <c r="B4" s="299">
        <v>30</v>
      </c>
      <c r="C4" s="300">
        <v>26</v>
      </c>
      <c r="D4" s="2">
        <f>B4-C4</f>
        <v>4</v>
      </c>
      <c r="E4" s="2">
        <f>D4*D4</f>
        <v>16</v>
      </c>
      <c r="I4" s="27"/>
    </row>
    <row r="5" spans="1:11" ht="12.75" customHeight="1" x14ac:dyDescent="0.25">
      <c r="A5" s="38">
        <v>2</v>
      </c>
      <c r="B5" s="299">
        <v>22</v>
      </c>
      <c r="C5" s="300">
        <v>19</v>
      </c>
      <c r="D5" s="2">
        <f t="shared" ref="D5:D28" si="0">B5-C5</f>
        <v>3</v>
      </c>
      <c r="E5" s="2">
        <f t="shared" ref="E5:E28" si="1">D5*D5</f>
        <v>9</v>
      </c>
      <c r="G5" s="6" t="s">
        <v>15</v>
      </c>
      <c r="H5" s="7">
        <f>SQRT((SUM(E4:E28)-(SUM(D4:D28)^2)/COUNT(B4:B28))/(COUNT(B4:B28)-1))</f>
        <v>1.5165750888103104</v>
      </c>
      <c r="I5" s="39"/>
    </row>
    <row r="6" spans="1:11" ht="12.75" customHeight="1" x14ac:dyDescent="0.25">
      <c r="A6" s="38">
        <v>3</v>
      </c>
      <c r="B6" s="299">
        <v>25</v>
      </c>
      <c r="C6" s="300">
        <v>20</v>
      </c>
      <c r="D6" s="2">
        <f t="shared" si="0"/>
        <v>5</v>
      </c>
      <c r="E6" s="2">
        <f t="shared" si="1"/>
        <v>25</v>
      </c>
      <c r="G6" s="6" t="s">
        <v>8</v>
      </c>
      <c r="H6" s="7">
        <f>(SUM(D4:D28)/COUNT(B4:B28))/(H5/SQRT(COUNT(B4:B28)))</f>
        <v>6.7823299831252664</v>
      </c>
      <c r="I6" s="39"/>
    </row>
    <row r="7" spans="1:11" ht="12.75" customHeight="1" x14ac:dyDescent="0.25">
      <c r="A7" s="38">
        <v>4</v>
      </c>
      <c r="B7" s="299">
        <v>19</v>
      </c>
      <c r="C7" s="300">
        <v>15</v>
      </c>
      <c r="D7" s="2">
        <f t="shared" si="0"/>
        <v>4</v>
      </c>
      <c r="E7" s="2">
        <f t="shared" si="1"/>
        <v>16</v>
      </c>
      <c r="G7" s="40"/>
      <c r="H7" s="39"/>
      <c r="I7" s="39"/>
    </row>
    <row r="8" spans="1:11" ht="12.75" customHeight="1" x14ac:dyDescent="0.25">
      <c r="A8" s="38">
        <v>5</v>
      </c>
      <c r="B8" s="299">
        <v>26</v>
      </c>
      <c r="C8" s="300">
        <v>19</v>
      </c>
      <c r="D8" s="2">
        <f t="shared" si="0"/>
        <v>7</v>
      </c>
      <c r="E8" s="2">
        <f t="shared" si="1"/>
        <v>49</v>
      </c>
      <c r="G8" s="41" t="str">
        <f>IF(COUNT(B4:B28)=COUNT(C4:C28),"","ERROR:  All data must be in pairs")</f>
        <v/>
      </c>
      <c r="H8" s="39"/>
      <c r="I8" s="39"/>
    </row>
    <row r="9" spans="1:11" ht="12.75" customHeight="1" thickBot="1" x14ac:dyDescent="0.3">
      <c r="A9" s="38">
        <v>6</v>
      </c>
      <c r="B9" s="299"/>
      <c r="C9" s="300"/>
      <c r="D9" s="2">
        <f t="shared" si="0"/>
        <v>0</v>
      </c>
      <c r="E9" s="2">
        <f t="shared" si="1"/>
        <v>0</v>
      </c>
      <c r="G9" s="42"/>
      <c r="H9" s="27"/>
      <c r="I9" s="29"/>
    </row>
    <row r="10" spans="1:11" ht="12.75" customHeight="1" x14ac:dyDescent="0.25">
      <c r="A10" s="38">
        <v>7</v>
      </c>
      <c r="B10" s="299"/>
      <c r="C10" s="300"/>
      <c r="D10" s="2">
        <f t="shared" si="0"/>
        <v>0</v>
      </c>
      <c r="E10" s="2">
        <f t="shared" si="1"/>
        <v>0</v>
      </c>
      <c r="G10" s="43"/>
      <c r="H10" s="44" t="s">
        <v>19</v>
      </c>
      <c r="I10" s="44" t="s">
        <v>20</v>
      </c>
      <c r="J10" s="8" t="s">
        <v>12</v>
      </c>
      <c r="K10" s="9" t="s">
        <v>5</v>
      </c>
    </row>
    <row r="11" spans="1:11" ht="12.75" customHeight="1" x14ac:dyDescent="0.25">
      <c r="A11" s="38">
        <v>8</v>
      </c>
      <c r="B11" s="299"/>
      <c r="C11" s="300"/>
      <c r="D11" s="2">
        <f t="shared" si="0"/>
        <v>0</v>
      </c>
      <c r="E11" s="2">
        <f t="shared" si="1"/>
        <v>0</v>
      </c>
      <c r="G11" s="10"/>
      <c r="H11" s="45" t="s">
        <v>21</v>
      </c>
      <c r="I11" s="45" t="s">
        <v>21</v>
      </c>
      <c r="J11" s="46"/>
      <c r="K11" s="47"/>
    </row>
    <row r="12" spans="1:11" ht="12.75" customHeight="1" x14ac:dyDescent="0.25">
      <c r="A12" s="38">
        <v>9</v>
      </c>
      <c r="B12" s="299"/>
      <c r="C12" s="300"/>
      <c r="D12" s="2">
        <f t="shared" si="0"/>
        <v>0</v>
      </c>
      <c r="E12" s="2">
        <f t="shared" si="1"/>
        <v>0</v>
      </c>
      <c r="G12" s="10"/>
      <c r="H12" s="11"/>
      <c r="I12" s="11"/>
      <c r="J12" s="12"/>
      <c r="K12" s="13"/>
    </row>
    <row r="13" spans="1:11" ht="12.75" customHeight="1" x14ac:dyDescent="0.25">
      <c r="A13" s="38">
        <v>10</v>
      </c>
      <c r="B13" s="299"/>
      <c r="C13" s="300"/>
      <c r="D13" s="2">
        <f t="shared" si="0"/>
        <v>0</v>
      </c>
      <c r="E13" s="2">
        <f t="shared" si="1"/>
        <v>0</v>
      </c>
      <c r="G13" s="14" t="s">
        <v>3</v>
      </c>
      <c r="H13" s="48">
        <f>-TINV($H$3,COUNT(B4:B28)-1)</f>
        <v>-2.7764451051977934</v>
      </c>
      <c r="I13" s="48">
        <f>TINV($H$3,COUNT(B4:B28)-1)</f>
        <v>2.7764451051977934</v>
      </c>
      <c r="J13" s="48">
        <f>TDIST(ABS(H6),COUNT(B4:B28)-1,2)</f>
        <v>2.4670431509543371E-3</v>
      </c>
      <c r="K13" s="49" t="str">
        <f>IF(J13&lt;$H$3,"Reject the null hypothesis","Do not reject the null hypothesis")</f>
        <v>Reject the null hypothesis</v>
      </c>
    </row>
    <row r="14" spans="1:11" ht="12.75" customHeight="1" thickBot="1" x14ac:dyDescent="0.3">
      <c r="A14" s="38">
        <v>11</v>
      </c>
      <c r="B14" s="299"/>
      <c r="C14" s="300"/>
      <c r="D14" s="2">
        <f t="shared" si="0"/>
        <v>0</v>
      </c>
      <c r="E14" s="2">
        <f t="shared" si="1"/>
        <v>0</v>
      </c>
      <c r="G14" s="51" t="s">
        <v>22</v>
      </c>
      <c r="H14" s="15"/>
      <c r="I14" s="57"/>
      <c r="J14" s="52"/>
      <c r="K14" s="53"/>
    </row>
    <row r="15" spans="1:11" ht="12.75" customHeight="1" thickBot="1" x14ac:dyDescent="0.3">
      <c r="A15" s="38">
        <v>12</v>
      </c>
      <c r="B15" s="299"/>
      <c r="C15" s="300"/>
      <c r="D15" s="2">
        <f t="shared" si="0"/>
        <v>0</v>
      </c>
      <c r="E15" s="2">
        <f t="shared" si="1"/>
        <v>0</v>
      </c>
    </row>
    <row r="16" spans="1:11" ht="12.75" customHeight="1" thickBot="1" x14ac:dyDescent="0.3">
      <c r="A16" s="38">
        <v>13</v>
      </c>
      <c r="B16" s="299"/>
      <c r="C16" s="300"/>
      <c r="D16" s="2">
        <f t="shared" si="0"/>
        <v>0</v>
      </c>
      <c r="E16" s="2">
        <f t="shared" si="1"/>
        <v>0</v>
      </c>
      <c r="H16" s="54" t="s">
        <v>23</v>
      </c>
      <c r="I16" s="55"/>
      <c r="J16" s="56"/>
    </row>
    <row r="17" spans="1:11" ht="12.75" customHeight="1" x14ac:dyDescent="0.25">
      <c r="A17" s="38">
        <v>14</v>
      </c>
      <c r="B17" s="299"/>
      <c r="C17" s="300"/>
      <c r="D17" s="2">
        <f t="shared" si="0"/>
        <v>0</v>
      </c>
      <c r="E17" s="2">
        <f t="shared" si="1"/>
        <v>0</v>
      </c>
    </row>
    <row r="18" spans="1:11" ht="12.75" customHeight="1" x14ac:dyDescent="0.25">
      <c r="A18" s="38">
        <v>15</v>
      </c>
      <c r="B18" s="299"/>
      <c r="C18" s="300"/>
      <c r="D18" s="2">
        <f t="shared" si="0"/>
        <v>0</v>
      </c>
      <c r="E18" s="2">
        <f t="shared" si="1"/>
        <v>0</v>
      </c>
    </row>
    <row r="19" spans="1:11" x14ac:dyDescent="0.25">
      <c r="A19" s="38">
        <v>16</v>
      </c>
      <c r="B19" s="299"/>
      <c r="C19" s="300"/>
      <c r="D19" s="2">
        <f t="shared" si="0"/>
        <v>0</v>
      </c>
      <c r="E19" s="2">
        <f t="shared" si="1"/>
        <v>0</v>
      </c>
      <c r="G19" s="236" t="s">
        <v>279</v>
      </c>
      <c r="H19" s="236"/>
      <c r="I19" s="236"/>
      <c r="J19" s="236"/>
      <c r="K19" s="236"/>
    </row>
    <row r="20" spans="1:11" x14ac:dyDescent="0.25">
      <c r="A20" s="38">
        <v>17</v>
      </c>
      <c r="B20" s="299"/>
      <c r="C20" s="300"/>
      <c r="D20" s="2">
        <f t="shared" si="0"/>
        <v>0</v>
      </c>
      <c r="E20" s="2">
        <f t="shared" si="1"/>
        <v>0</v>
      </c>
    </row>
    <row r="21" spans="1:11" x14ac:dyDescent="0.25">
      <c r="A21" s="38">
        <v>18</v>
      </c>
      <c r="B21" s="299"/>
      <c r="C21" s="300"/>
      <c r="D21" s="2">
        <f t="shared" si="0"/>
        <v>0</v>
      </c>
      <c r="E21" s="2">
        <f t="shared" si="1"/>
        <v>0</v>
      </c>
    </row>
    <row r="22" spans="1:11" x14ac:dyDescent="0.25">
      <c r="A22" s="38">
        <v>19</v>
      </c>
      <c r="B22" s="299"/>
      <c r="C22" s="300"/>
      <c r="D22" s="2">
        <f t="shared" si="0"/>
        <v>0</v>
      </c>
      <c r="E22" s="2">
        <f t="shared" si="1"/>
        <v>0</v>
      </c>
    </row>
    <row r="23" spans="1:11" x14ac:dyDescent="0.25">
      <c r="A23" s="38">
        <v>20</v>
      </c>
      <c r="B23" s="299"/>
      <c r="C23" s="300"/>
      <c r="D23" s="2">
        <f t="shared" si="0"/>
        <v>0</v>
      </c>
      <c r="E23" s="2">
        <f t="shared" si="1"/>
        <v>0</v>
      </c>
    </row>
    <row r="24" spans="1:11" x14ac:dyDescent="0.25">
      <c r="A24" s="38">
        <v>21</v>
      </c>
      <c r="B24" s="299"/>
      <c r="C24" s="300"/>
      <c r="D24" s="2">
        <f t="shared" si="0"/>
        <v>0</v>
      </c>
      <c r="E24" s="2">
        <f t="shared" si="1"/>
        <v>0</v>
      </c>
    </row>
    <row r="25" spans="1:11" x14ac:dyDescent="0.25">
      <c r="A25" s="38">
        <v>22</v>
      </c>
      <c r="B25" s="299"/>
      <c r="C25" s="300"/>
      <c r="D25" s="2">
        <f t="shared" si="0"/>
        <v>0</v>
      </c>
      <c r="E25" s="2">
        <f t="shared" si="1"/>
        <v>0</v>
      </c>
    </row>
    <row r="26" spans="1:11" x14ac:dyDescent="0.25">
      <c r="A26" s="38">
        <v>23</v>
      </c>
      <c r="B26" s="299"/>
      <c r="C26" s="300"/>
      <c r="D26" s="2">
        <f t="shared" si="0"/>
        <v>0</v>
      </c>
      <c r="E26" s="2">
        <f t="shared" si="1"/>
        <v>0</v>
      </c>
    </row>
    <row r="27" spans="1:11" x14ac:dyDescent="0.25">
      <c r="A27" s="38">
        <v>24</v>
      </c>
      <c r="B27" s="299"/>
      <c r="C27" s="300"/>
      <c r="D27" s="2">
        <f t="shared" si="0"/>
        <v>0</v>
      </c>
      <c r="E27" s="2">
        <f t="shared" si="1"/>
        <v>0</v>
      </c>
    </row>
    <row r="28" spans="1:11" x14ac:dyDescent="0.25">
      <c r="A28" s="38">
        <v>25</v>
      </c>
      <c r="B28" s="299"/>
      <c r="C28" s="300"/>
      <c r="D28" s="2">
        <f t="shared" si="0"/>
        <v>0</v>
      </c>
      <c r="E28" s="2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InputMessage="1" showErrorMessage="1" sqref="H3" xr:uid="{00000000-0002-0000-0D00-000000000000}">
      <formula1>0</formula1>
      <formula2>1</formula2>
    </dataValidation>
  </dataValidations>
  <printOptions gridLines="1" gridLinesSet="0"/>
  <pageMargins left="0.75" right="0.75" top="1" bottom="1" header="0.5" footer="0.5"/>
  <pageSetup scale="92" orientation="landscape" horizontalDpi="300" verticalDpi="300" r:id="rId1"/>
  <headerFooter alignWithMargins="0">
    <oddHeader>&amp;A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64C41-93B1-4519-805E-40B0DCE02D31}">
  <sheetPr>
    <pageSetUpPr fitToPage="1"/>
  </sheetPr>
  <dimension ref="A1:K203"/>
  <sheetViews>
    <sheetView workbookViewId="0">
      <selection activeCell="H25" sqref="H25"/>
    </sheetView>
  </sheetViews>
  <sheetFormatPr defaultColWidth="9.109375" defaultRowHeight="13.2" x14ac:dyDescent="0.25"/>
  <cols>
    <col min="1" max="1" width="7.5546875" style="2" customWidth="1"/>
    <col min="2" max="2" width="13.44140625" style="58" customWidth="1"/>
    <col min="3" max="3" width="11.33203125" style="58" bestFit="1" customWidth="1"/>
    <col min="4" max="4" width="3" style="2" hidden="1" customWidth="1"/>
    <col min="5" max="5" width="4" style="2" hidden="1" customWidth="1"/>
    <col min="6" max="6" width="4.44140625" style="2" customWidth="1"/>
    <col min="7" max="7" width="34.5546875" style="2" bestFit="1" customWidth="1"/>
    <col min="8" max="8" width="12.5546875" style="2" customWidth="1"/>
    <col min="9" max="9" width="12.44140625" style="2" bestFit="1" customWidth="1"/>
    <col min="10" max="10" width="9.109375" style="2"/>
    <col min="11" max="11" width="33.6640625" style="2" customWidth="1"/>
    <col min="12" max="16384" width="9.109375" style="2"/>
  </cols>
  <sheetData>
    <row r="1" spans="1:11" s="25" customFormat="1" ht="21" x14ac:dyDescent="0.4">
      <c r="A1" s="257" t="s">
        <v>17</v>
      </c>
      <c r="B1" s="311"/>
      <c r="C1" s="311"/>
      <c r="D1" s="278"/>
      <c r="E1" s="278"/>
      <c r="F1" s="278"/>
      <c r="G1" s="279"/>
      <c r="H1" s="279"/>
      <c r="I1" s="279"/>
    </row>
    <row r="2" spans="1:11" ht="12.75" customHeight="1" x14ac:dyDescent="0.4">
      <c r="G2" s="26"/>
    </row>
    <row r="3" spans="1:11" ht="12.75" customHeight="1" thickBot="1" x14ac:dyDescent="0.3">
      <c r="A3" s="312" t="s">
        <v>18</v>
      </c>
      <c r="B3" s="307" t="s">
        <v>280</v>
      </c>
      <c r="C3" s="308" t="s">
        <v>281</v>
      </c>
      <c r="G3" s="254" t="s">
        <v>0</v>
      </c>
      <c r="H3" s="37">
        <v>0.05</v>
      </c>
    </row>
    <row r="4" spans="1:11" ht="12.75" customHeight="1" x14ac:dyDescent="0.25">
      <c r="A4" s="313">
        <v>1</v>
      </c>
      <c r="B4" s="299">
        <v>320</v>
      </c>
      <c r="C4" s="300">
        <v>340</v>
      </c>
      <c r="D4" s="2">
        <f>B4-C4</f>
        <v>-20</v>
      </c>
      <c r="E4" s="2">
        <f t="shared" ref="E4:E67" si="0">D4*D4</f>
        <v>400</v>
      </c>
    </row>
    <row r="5" spans="1:11" ht="12.75" customHeight="1" x14ac:dyDescent="0.25">
      <c r="A5" s="313">
        <v>2</v>
      </c>
      <c r="B5" s="299">
        <v>290</v>
      </c>
      <c r="C5" s="300">
        <v>285</v>
      </c>
      <c r="D5" s="2">
        <f t="shared" ref="D5:D68" si="1">B5-C5</f>
        <v>5</v>
      </c>
      <c r="E5" s="2">
        <f t="shared" si="0"/>
        <v>25</v>
      </c>
      <c r="G5" s="252" t="s">
        <v>15</v>
      </c>
      <c r="H5" s="251">
        <f>SQRT((SUM(E4:E203)-(SUM(D4:D203)^2)/COUNT(B4:B203))/(COUNT(B4:B203)-1))</f>
        <v>40.790948936639303</v>
      </c>
    </row>
    <row r="6" spans="1:11" ht="12.75" customHeight="1" x14ac:dyDescent="0.25">
      <c r="A6" s="313">
        <v>3</v>
      </c>
      <c r="B6" s="299">
        <v>421</v>
      </c>
      <c r="C6" s="300">
        <v>475</v>
      </c>
      <c r="D6" s="2">
        <f t="shared" si="1"/>
        <v>-54</v>
      </c>
      <c r="E6" s="2">
        <f t="shared" si="0"/>
        <v>2916</v>
      </c>
      <c r="G6" s="252" t="s">
        <v>8</v>
      </c>
      <c r="H6" s="251">
        <f>(SUM(D4:D203)/COUNT(B4:B203))/(H5/SQRT(COUNT(B4:B203)))</f>
        <v>-2.2009286177293688</v>
      </c>
    </row>
    <row r="7" spans="1:11" ht="12.75" customHeight="1" x14ac:dyDescent="0.25">
      <c r="A7" s="313">
        <v>4</v>
      </c>
      <c r="B7" s="299">
        <v>510</v>
      </c>
      <c r="C7" s="300">
        <v>510</v>
      </c>
      <c r="D7" s="2">
        <f t="shared" si="1"/>
        <v>0</v>
      </c>
      <c r="E7" s="2">
        <f t="shared" si="0"/>
        <v>0</v>
      </c>
      <c r="G7" s="314"/>
      <c r="H7" s="282"/>
      <c r="I7" s="282"/>
    </row>
    <row r="8" spans="1:11" ht="12.75" customHeight="1" x14ac:dyDescent="0.25">
      <c r="A8" s="313">
        <v>5</v>
      </c>
      <c r="B8" s="299">
        <v>210</v>
      </c>
      <c r="C8" s="300">
        <v>210</v>
      </c>
      <c r="D8" s="2">
        <f t="shared" si="1"/>
        <v>0</v>
      </c>
      <c r="E8" s="2">
        <f t="shared" si="0"/>
        <v>0</v>
      </c>
      <c r="G8" s="315" t="str">
        <f>IF(COUNT(B4:B203)=COUNT(C4:C203),"","ERROR:  All data must be in pairs")</f>
        <v/>
      </c>
      <c r="H8" s="282"/>
      <c r="I8" s="282"/>
    </row>
    <row r="9" spans="1:11" ht="12.75" customHeight="1" thickBot="1" x14ac:dyDescent="0.3">
      <c r="A9" s="313">
        <v>6</v>
      </c>
      <c r="B9" s="299">
        <v>402</v>
      </c>
      <c r="C9" s="300">
        <v>500</v>
      </c>
      <c r="D9" s="2">
        <f t="shared" si="1"/>
        <v>-98</v>
      </c>
      <c r="E9" s="2">
        <f t="shared" si="0"/>
        <v>9604</v>
      </c>
      <c r="G9" s="253"/>
      <c r="I9" s="3"/>
    </row>
    <row r="10" spans="1:11" ht="12.75" customHeight="1" x14ac:dyDescent="0.25">
      <c r="A10" s="313">
        <v>7</v>
      </c>
      <c r="B10" s="299">
        <v>625</v>
      </c>
      <c r="C10" s="300">
        <v>631</v>
      </c>
      <c r="D10" s="2">
        <f t="shared" si="1"/>
        <v>-6</v>
      </c>
      <c r="E10" s="2">
        <f t="shared" si="0"/>
        <v>36</v>
      </c>
      <c r="G10" s="295"/>
      <c r="H10" s="303" t="s">
        <v>19</v>
      </c>
      <c r="I10" s="303" t="s">
        <v>20</v>
      </c>
      <c r="J10" s="248" t="s">
        <v>12</v>
      </c>
      <c r="K10" s="247" t="s">
        <v>5</v>
      </c>
    </row>
    <row r="11" spans="1:11" ht="12.75" customHeight="1" x14ac:dyDescent="0.25">
      <c r="A11" s="313">
        <v>8</v>
      </c>
      <c r="B11" s="299">
        <v>560</v>
      </c>
      <c r="C11" s="300">
        <v>560</v>
      </c>
      <c r="D11" s="2">
        <f t="shared" si="1"/>
        <v>0</v>
      </c>
      <c r="E11" s="2">
        <f t="shared" si="0"/>
        <v>0</v>
      </c>
      <c r="G11" s="246"/>
      <c r="H11" s="304" t="s">
        <v>21</v>
      </c>
      <c r="I11" s="304" t="s">
        <v>21</v>
      </c>
      <c r="J11" s="305"/>
      <c r="K11" s="306"/>
    </row>
    <row r="12" spans="1:11" ht="12.75" customHeight="1" x14ac:dyDescent="0.25">
      <c r="A12" s="313">
        <v>9</v>
      </c>
      <c r="B12" s="299">
        <v>360</v>
      </c>
      <c r="C12" s="300">
        <v>365</v>
      </c>
      <c r="D12" s="2">
        <f t="shared" si="1"/>
        <v>-5</v>
      </c>
      <c r="E12" s="2">
        <f t="shared" si="0"/>
        <v>25</v>
      </c>
      <c r="G12" s="243" t="s">
        <v>222</v>
      </c>
      <c r="H12" s="242">
        <f>-TINV(2*$H$3,COUNT(B4:B203)-1)</f>
        <v>-1.7958848187040437</v>
      </c>
      <c r="I12" s="242" t="s">
        <v>11</v>
      </c>
      <c r="J12" s="242">
        <f>IF(H6&lt;0,TDIST(ABS(H6),COUNT(B4:B203)-1,1),1-TDIST(ABS(H6),COUNT(B4:B203)-1,1))</f>
        <v>2.5002469218482901E-2</v>
      </c>
      <c r="K12" s="241" t="str">
        <f>IF(J12&lt;$H$3,"Reject the null hypothesis","Do not reject the null hypothesis")</f>
        <v>Reject the null hypothesis</v>
      </c>
    </row>
    <row r="13" spans="1:11" ht="12.75" customHeight="1" thickBot="1" x14ac:dyDescent="0.3">
      <c r="A13" s="313">
        <v>10</v>
      </c>
      <c r="B13" s="299">
        <v>431</v>
      </c>
      <c r="C13" s="300">
        <v>431</v>
      </c>
      <c r="D13" s="2">
        <f t="shared" si="1"/>
        <v>0</v>
      </c>
      <c r="E13" s="2">
        <f t="shared" si="0"/>
        <v>0</v>
      </c>
      <c r="G13" s="287" t="s">
        <v>283</v>
      </c>
      <c r="H13" s="239"/>
      <c r="I13" s="239"/>
      <c r="J13" s="238"/>
      <c r="K13" s="237"/>
    </row>
    <row r="14" spans="1:11" ht="12.75" customHeight="1" x14ac:dyDescent="0.25">
      <c r="A14" s="313">
        <v>11</v>
      </c>
      <c r="B14" s="299">
        <v>506</v>
      </c>
      <c r="C14" s="300">
        <v>525</v>
      </c>
      <c r="D14" s="2">
        <f t="shared" si="1"/>
        <v>-19</v>
      </c>
      <c r="E14" s="2">
        <f t="shared" si="0"/>
        <v>361</v>
      </c>
    </row>
    <row r="15" spans="1:11" ht="12.75" customHeight="1" x14ac:dyDescent="0.25">
      <c r="A15" s="313">
        <v>12</v>
      </c>
      <c r="B15" s="299">
        <v>505</v>
      </c>
      <c r="C15" s="300">
        <v>619</v>
      </c>
      <c r="D15" s="2">
        <f t="shared" si="1"/>
        <v>-114</v>
      </c>
      <c r="E15" s="2">
        <f t="shared" si="0"/>
        <v>12996</v>
      </c>
      <c r="G15" s="288" t="s">
        <v>243</v>
      </c>
      <c r="H15" s="288"/>
      <c r="I15" s="288"/>
      <c r="J15" s="288"/>
      <c r="K15" s="288"/>
    </row>
    <row r="16" spans="1:11" ht="12.75" customHeight="1" x14ac:dyDescent="0.25">
      <c r="A16" s="313">
        <v>13</v>
      </c>
      <c r="B16" s="299"/>
      <c r="C16" s="300"/>
      <c r="D16" s="2">
        <f t="shared" si="1"/>
        <v>0</v>
      </c>
      <c r="E16" s="2">
        <f t="shared" si="0"/>
        <v>0</v>
      </c>
      <c r="G16" s="289" t="s">
        <v>244</v>
      </c>
      <c r="H16" s="289"/>
      <c r="I16" s="289"/>
      <c r="J16" s="289"/>
      <c r="K16" s="289"/>
    </row>
    <row r="17" spans="1:11" ht="12.75" customHeight="1" x14ac:dyDescent="0.25">
      <c r="A17" s="313">
        <v>14</v>
      </c>
      <c r="B17" s="299"/>
      <c r="C17" s="300"/>
      <c r="D17" s="2">
        <f t="shared" si="1"/>
        <v>0</v>
      </c>
      <c r="E17" s="2">
        <f t="shared" si="0"/>
        <v>0</v>
      </c>
      <c r="G17" s="290" t="s">
        <v>245</v>
      </c>
      <c r="H17" s="290"/>
      <c r="I17" s="290"/>
      <c r="J17" s="290"/>
      <c r="K17" s="290"/>
    </row>
    <row r="18" spans="1:11" ht="12.75" customHeight="1" x14ac:dyDescent="0.25">
      <c r="A18" s="313">
        <v>15</v>
      </c>
      <c r="B18" s="299"/>
      <c r="C18" s="300"/>
      <c r="D18" s="2">
        <f t="shared" si="1"/>
        <v>0</v>
      </c>
      <c r="E18" s="2">
        <f t="shared" si="0"/>
        <v>0</v>
      </c>
    </row>
    <row r="19" spans="1:11" x14ac:dyDescent="0.25">
      <c r="A19" s="313">
        <v>16</v>
      </c>
      <c r="B19" s="299"/>
      <c r="C19" s="300"/>
      <c r="D19" s="2">
        <f t="shared" si="1"/>
        <v>0</v>
      </c>
      <c r="E19" s="2">
        <f t="shared" si="0"/>
        <v>0</v>
      </c>
      <c r="G19" s="236" t="s">
        <v>284</v>
      </c>
      <c r="H19" s="236"/>
      <c r="I19" s="236"/>
      <c r="J19" s="236"/>
      <c r="K19" s="236"/>
    </row>
    <row r="20" spans="1:11" ht="13.8" thickBot="1" x14ac:dyDescent="0.3">
      <c r="A20" s="313">
        <v>17</v>
      </c>
      <c r="B20" s="299"/>
      <c r="C20" s="300"/>
      <c r="D20" s="2">
        <f t="shared" si="1"/>
        <v>0</v>
      </c>
      <c r="E20" s="2">
        <f t="shared" si="0"/>
        <v>0</v>
      </c>
    </row>
    <row r="21" spans="1:11" ht="13.8" thickBot="1" x14ac:dyDescent="0.3">
      <c r="A21" s="313">
        <v>18</v>
      </c>
      <c r="B21" s="299"/>
      <c r="C21" s="300"/>
      <c r="D21" s="2">
        <f t="shared" si="1"/>
        <v>0</v>
      </c>
      <c r="E21" s="2">
        <f t="shared" si="0"/>
        <v>0</v>
      </c>
      <c r="H21" s="291" t="s">
        <v>270</v>
      </c>
      <c r="I21" s="316"/>
      <c r="J21" s="317"/>
    </row>
    <row r="22" spans="1:11" x14ac:dyDescent="0.25">
      <c r="A22" s="313">
        <v>19</v>
      </c>
      <c r="B22" s="299"/>
      <c r="C22" s="300"/>
      <c r="D22" s="2">
        <f t="shared" si="1"/>
        <v>0</v>
      </c>
      <c r="E22" s="2">
        <f t="shared" si="0"/>
        <v>0</v>
      </c>
    </row>
    <row r="23" spans="1:11" x14ac:dyDescent="0.25">
      <c r="A23" s="313">
        <v>20</v>
      </c>
      <c r="B23" s="299"/>
      <c r="C23" s="300"/>
      <c r="D23" s="2">
        <f t="shared" si="1"/>
        <v>0</v>
      </c>
      <c r="E23" s="2">
        <f t="shared" si="0"/>
        <v>0</v>
      </c>
    </row>
    <row r="24" spans="1:11" x14ac:dyDescent="0.25">
      <c r="A24" s="313">
        <v>21</v>
      </c>
      <c r="B24" s="299"/>
      <c r="C24" s="300"/>
      <c r="D24" s="2">
        <f t="shared" si="1"/>
        <v>0</v>
      </c>
      <c r="E24" s="2">
        <f t="shared" si="0"/>
        <v>0</v>
      </c>
    </row>
    <row r="25" spans="1:11" x14ac:dyDescent="0.25">
      <c r="A25" s="313">
        <v>22</v>
      </c>
      <c r="B25" s="299"/>
      <c r="C25" s="300"/>
      <c r="D25" s="2">
        <f t="shared" si="1"/>
        <v>0</v>
      </c>
      <c r="E25" s="2">
        <f t="shared" si="0"/>
        <v>0</v>
      </c>
    </row>
    <row r="26" spans="1:11" x14ac:dyDescent="0.25">
      <c r="A26" s="313">
        <v>23</v>
      </c>
      <c r="B26" s="299"/>
      <c r="C26" s="300"/>
      <c r="D26" s="2">
        <f t="shared" si="1"/>
        <v>0</v>
      </c>
      <c r="E26" s="2">
        <f t="shared" si="0"/>
        <v>0</v>
      </c>
    </row>
    <row r="27" spans="1:11" x14ac:dyDescent="0.25">
      <c r="A27" s="313">
        <v>24</v>
      </c>
      <c r="B27" s="299"/>
      <c r="C27" s="300"/>
      <c r="D27" s="2">
        <f t="shared" si="1"/>
        <v>0</v>
      </c>
      <c r="E27" s="2">
        <f t="shared" si="0"/>
        <v>0</v>
      </c>
    </row>
    <row r="28" spans="1:11" x14ac:dyDescent="0.25">
      <c r="A28" s="313">
        <v>25</v>
      </c>
      <c r="B28" s="299"/>
      <c r="C28" s="300"/>
      <c r="D28" s="2">
        <f t="shared" si="1"/>
        <v>0</v>
      </c>
      <c r="E28" s="2">
        <f t="shared" si="0"/>
        <v>0</v>
      </c>
    </row>
    <row r="29" spans="1:11" x14ac:dyDescent="0.25">
      <c r="A29" s="313">
        <v>26</v>
      </c>
      <c r="B29" s="299"/>
      <c r="C29" s="300"/>
      <c r="D29" s="2">
        <f t="shared" si="1"/>
        <v>0</v>
      </c>
      <c r="E29" s="2">
        <f t="shared" si="0"/>
        <v>0</v>
      </c>
    </row>
    <row r="30" spans="1:11" x14ac:dyDescent="0.25">
      <c r="A30" s="313">
        <v>27</v>
      </c>
      <c r="B30" s="299"/>
      <c r="C30" s="300"/>
      <c r="D30" s="2">
        <f t="shared" si="1"/>
        <v>0</v>
      </c>
      <c r="E30" s="2">
        <f t="shared" si="0"/>
        <v>0</v>
      </c>
    </row>
    <row r="31" spans="1:11" x14ac:dyDescent="0.25">
      <c r="A31" s="313">
        <v>28</v>
      </c>
      <c r="B31" s="299"/>
      <c r="C31" s="300"/>
      <c r="D31" s="2">
        <f t="shared" si="1"/>
        <v>0</v>
      </c>
      <c r="E31" s="2">
        <f t="shared" si="0"/>
        <v>0</v>
      </c>
    </row>
    <row r="32" spans="1:11" x14ac:dyDescent="0.25">
      <c r="A32" s="313">
        <v>29</v>
      </c>
      <c r="B32" s="299"/>
      <c r="C32" s="300"/>
      <c r="D32" s="2">
        <f t="shared" si="1"/>
        <v>0</v>
      </c>
      <c r="E32" s="2">
        <f t="shared" si="0"/>
        <v>0</v>
      </c>
    </row>
    <row r="33" spans="1:5" x14ac:dyDescent="0.25">
      <c r="A33" s="313">
        <v>30</v>
      </c>
      <c r="B33" s="299"/>
      <c r="C33" s="300"/>
      <c r="D33" s="2">
        <f t="shared" si="1"/>
        <v>0</v>
      </c>
      <c r="E33" s="2">
        <f t="shared" si="0"/>
        <v>0</v>
      </c>
    </row>
    <row r="34" spans="1:5" x14ac:dyDescent="0.25">
      <c r="A34" s="313">
        <v>31</v>
      </c>
      <c r="B34" s="299"/>
      <c r="C34" s="300"/>
      <c r="D34" s="2">
        <f t="shared" si="1"/>
        <v>0</v>
      </c>
      <c r="E34" s="2">
        <f t="shared" si="0"/>
        <v>0</v>
      </c>
    </row>
    <row r="35" spans="1:5" x14ac:dyDescent="0.25">
      <c r="A35" s="313">
        <v>32</v>
      </c>
      <c r="B35" s="299"/>
      <c r="C35" s="300"/>
      <c r="D35" s="2">
        <f t="shared" si="1"/>
        <v>0</v>
      </c>
      <c r="E35" s="2">
        <f t="shared" si="0"/>
        <v>0</v>
      </c>
    </row>
    <row r="36" spans="1:5" x14ac:dyDescent="0.25">
      <c r="A36" s="313">
        <v>33</v>
      </c>
      <c r="B36" s="299"/>
      <c r="C36" s="300"/>
      <c r="D36" s="2">
        <f t="shared" si="1"/>
        <v>0</v>
      </c>
      <c r="E36" s="2">
        <f t="shared" si="0"/>
        <v>0</v>
      </c>
    </row>
    <row r="37" spans="1:5" x14ac:dyDescent="0.25">
      <c r="A37" s="313">
        <v>34</v>
      </c>
      <c r="B37" s="299"/>
      <c r="C37" s="300"/>
      <c r="D37" s="2">
        <f t="shared" si="1"/>
        <v>0</v>
      </c>
      <c r="E37" s="2">
        <f t="shared" si="0"/>
        <v>0</v>
      </c>
    </row>
    <row r="38" spans="1:5" x14ac:dyDescent="0.25">
      <c r="A38" s="313">
        <v>35</v>
      </c>
      <c r="B38" s="299"/>
      <c r="C38" s="300"/>
      <c r="D38" s="2">
        <f t="shared" si="1"/>
        <v>0</v>
      </c>
      <c r="E38" s="2">
        <f t="shared" si="0"/>
        <v>0</v>
      </c>
    </row>
    <row r="39" spans="1:5" x14ac:dyDescent="0.25">
      <c r="A39" s="313">
        <v>36</v>
      </c>
      <c r="B39" s="299"/>
      <c r="C39" s="300"/>
      <c r="D39" s="2">
        <f t="shared" si="1"/>
        <v>0</v>
      </c>
      <c r="E39" s="2">
        <f t="shared" si="0"/>
        <v>0</v>
      </c>
    </row>
    <row r="40" spans="1:5" x14ac:dyDescent="0.25">
      <c r="A40" s="313">
        <v>37</v>
      </c>
      <c r="B40" s="299"/>
      <c r="C40" s="300"/>
      <c r="D40" s="2">
        <f t="shared" si="1"/>
        <v>0</v>
      </c>
      <c r="E40" s="2">
        <f t="shared" si="0"/>
        <v>0</v>
      </c>
    </row>
    <row r="41" spans="1:5" x14ac:dyDescent="0.25">
      <c r="A41" s="313">
        <v>38</v>
      </c>
      <c r="B41" s="299"/>
      <c r="C41" s="300"/>
      <c r="D41" s="2">
        <f t="shared" si="1"/>
        <v>0</v>
      </c>
      <c r="E41" s="2">
        <f t="shared" si="0"/>
        <v>0</v>
      </c>
    </row>
    <row r="42" spans="1:5" x14ac:dyDescent="0.25">
      <c r="A42" s="313">
        <v>39</v>
      </c>
      <c r="B42" s="299"/>
      <c r="C42" s="300"/>
      <c r="D42" s="2">
        <f t="shared" si="1"/>
        <v>0</v>
      </c>
      <c r="E42" s="2">
        <f t="shared" si="0"/>
        <v>0</v>
      </c>
    </row>
    <row r="43" spans="1:5" x14ac:dyDescent="0.25">
      <c r="A43" s="313">
        <v>40</v>
      </c>
      <c r="B43" s="299"/>
      <c r="C43" s="300"/>
      <c r="D43" s="2">
        <f t="shared" si="1"/>
        <v>0</v>
      </c>
      <c r="E43" s="2">
        <f t="shared" si="0"/>
        <v>0</v>
      </c>
    </row>
    <row r="44" spans="1:5" x14ac:dyDescent="0.25">
      <c r="A44" s="313">
        <v>41</v>
      </c>
      <c r="B44" s="299"/>
      <c r="C44" s="300"/>
      <c r="D44" s="2">
        <f t="shared" si="1"/>
        <v>0</v>
      </c>
      <c r="E44" s="2">
        <f t="shared" si="0"/>
        <v>0</v>
      </c>
    </row>
    <row r="45" spans="1:5" x14ac:dyDescent="0.25">
      <c r="A45" s="313">
        <v>42</v>
      </c>
      <c r="B45" s="299"/>
      <c r="C45" s="300"/>
      <c r="D45" s="2">
        <f t="shared" si="1"/>
        <v>0</v>
      </c>
      <c r="E45" s="2">
        <f t="shared" si="0"/>
        <v>0</v>
      </c>
    </row>
    <row r="46" spans="1:5" x14ac:dyDescent="0.25">
      <c r="A46" s="313">
        <v>43</v>
      </c>
      <c r="B46" s="299"/>
      <c r="C46" s="300"/>
      <c r="D46" s="2">
        <f t="shared" si="1"/>
        <v>0</v>
      </c>
      <c r="E46" s="2">
        <f t="shared" si="0"/>
        <v>0</v>
      </c>
    </row>
    <row r="47" spans="1:5" x14ac:dyDescent="0.25">
      <c r="A47" s="313">
        <v>44</v>
      </c>
      <c r="B47" s="299"/>
      <c r="C47" s="300"/>
      <c r="D47" s="2">
        <f t="shared" si="1"/>
        <v>0</v>
      </c>
      <c r="E47" s="2">
        <f t="shared" si="0"/>
        <v>0</v>
      </c>
    </row>
    <row r="48" spans="1:5" x14ac:dyDescent="0.25">
      <c r="A48" s="313">
        <v>45</v>
      </c>
      <c r="B48" s="299"/>
      <c r="C48" s="300"/>
      <c r="D48" s="2">
        <f t="shared" si="1"/>
        <v>0</v>
      </c>
      <c r="E48" s="2">
        <f t="shared" si="0"/>
        <v>0</v>
      </c>
    </row>
    <row r="49" spans="1:5" x14ac:dyDescent="0.25">
      <c r="A49" s="313">
        <v>46</v>
      </c>
      <c r="B49" s="299"/>
      <c r="C49" s="300"/>
      <c r="D49" s="2">
        <f t="shared" si="1"/>
        <v>0</v>
      </c>
      <c r="E49" s="2">
        <f t="shared" si="0"/>
        <v>0</v>
      </c>
    </row>
    <row r="50" spans="1:5" x14ac:dyDescent="0.25">
      <c r="A50" s="313">
        <v>47</v>
      </c>
      <c r="B50" s="299"/>
      <c r="C50" s="300"/>
      <c r="D50" s="2">
        <f t="shared" si="1"/>
        <v>0</v>
      </c>
      <c r="E50" s="2">
        <f t="shared" si="0"/>
        <v>0</v>
      </c>
    </row>
    <row r="51" spans="1:5" x14ac:dyDescent="0.25">
      <c r="A51" s="313">
        <v>48</v>
      </c>
      <c r="B51" s="299"/>
      <c r="C51" s="300"/>
      <c r="D51" s="2">
        <f t="shared" si="1"/>
        <v>0</v>
      </c>
      <c r="E51" s="2">
        <f t="shared" si="0"/>
        <v>0</v>
      </c>
    </row>
    <row r="52" spans="1:5" x14ac:dyDescent="0.25">
      <c r="A52" s="313">
        <v>49</v>
      </c>
      <c r="B52" s="299"/>
      <c r="C52" s="300"/>
      <c r="D52" s="2">
        <f t="shared" si="1"/>
        <v>0</v>
      </c>
      <c r="E52" s="2">
        <f t="shared" si="0"/>
        <v>0</v>
      </c>
    </row>
    <row r="53" spans="1:5" x14ac:dyDescent="0.25">
      <c r="A53" s="313">
        <v>50</v>
      </c>
      <c r="B53" s="299"/>
      <c r="C53" s="300"/>
      <c r="D53" s="2">
        <f t="shared" si="1"/>
        <v>0</v>
      </c>
      <c r="E53" s="2">
        <f t="shared" si="0"/>
        <v>0</v>
      </c>
    </row>
    <row r="54" spans="1:5" x14ac:dyDescent="0.25">
      <c r="A54" s="313">
        <v>51</v>
      </c>
      <c r="B54" s="299"/>
      <c r="C54" s="300"/>
      <c r="D54" s="2">
        <f t="shared" si="1"/>
        <v>0</v>
      </c>
      <c r="E54" s="2">
        <f t="shared" si="0"/>
        <v>0</v>
      </c>
    </row>
    <row r="55" spans="1:5" x14ac:dyDescent="0.25">
      <c r="A55" s="313">
        <v>52</v>
      </c>
      <c r="B55" s="299"/>
      <c r="C55" s="300"/>
      <c r="D55" s="2">
        <f t="shared" si="1"/>
        <v>0</v>
      </c>
      <c r="E55" s="2">
        <f t="shared" si="0"/>
        <v>0</v>
      </c>
    </row>
    <row r="56" spans="1:5" x14ac:dyDescent="0.25">
      <c r="A56" s="313">
        <v>53</v>
      </c>
      <c r="B56" s="299"/>
      <c r="C56" s="300"/>
      <c r="D56" s="2">
        <f t="shared" si="1"/>
        <v>0</v>
      </c>
      <c r="E56" s="2">
        <f t="shared" si="0"/>
        <v>0</v>
      </c>
    </row>
    <row r="57" spans="1:5" x14ac:dyDescent="0.25">
      <c r="A57" s="313">
        <v>54</v>
      </c>
      <c r="B57" s="299"/>
      <c r="C57" s="300"/>
      <c r="D57" s="2">
        <f t="shared" si="1"/>
        <v>0</v>
      </c>
      <c r="E57" s="2">
        <f t="shared" si="0"/>
        <v>0</v>
      </c>
    </row>
    <row r="58" spans="1:5" x14ac:dyDescent="0.25">
      <c r="A58" s="313">
        <v>55</v>
      </c>
      <c r="B58" s="299"/>
      <c r="C58" s="300"/>
      <c r="D58" s="2">
        <f t="shared" si="1"/>
        <v>0</v>
      </c>
      <c r="E58" s="2">
        <f t="shared" si="0"/>
        <v>0</v>
      </c>
    </row>
    <row r="59" spans="1:5" x14ac:dyDescent="0.25">
      <c r="A59" s="313">
        <v>56</v>
      </c>
      <c r="B59" s="299"/>
      <c r="C59" s="300"/>
      <c r="D59" s="2">
        <f t="shared" si="1"/>
        <v>0</v>
      </c>
      <c r="E59" s="2">
        <f t="shared" si="0"/>
        <v>0</v>
      </c>
    </row>
    <row r="60" spans="1:5" x14ac:dyDescent="0.25">
      <c r="A60" s="313">
        <v>57</v>
      </c>
      <c r="B60" s="299"/>
      <c r="C60" s="300"/>
      <c r="D60" s="2">
        <f t="shared" si="1"/>
        <v>0</v>
      </c>
      <c r="E60" s="2">
        <f t="shared" si="0"/>
        <v>0</v>
      </c>
    </row>
    <row r="61" spans="1:5" x14ac:dyDescent="0.25">
      <c r="A61" s="313">
        <v>58</v>
      </c>
      <c r="B61" s="299"/>
      <c r="C61" s="300"/>
      <c r="D61" s="2">
        <f t="shared" si="1"/>
        <v>0</v>
      </c>
      <c r="E61" s="2">
        <f t="shared" si="0"/>
        <v>0</v>
      </c>
    </row>
    <row r="62" spans="1:5" x14ac:dyDescent="0.25">
      <c r="A62" s="313">
        <v>59</v>
      </c>
      <c r="B62" s="299"/>
      <c r="C62" s="300"/>
      <c r="D62" s="2">
        <f t="shared" si="1"/>
        <v>0</v>
      </c>
      <c r="E62" s="2">
        <f t="shared" si="0"/>
        <v>0</v>
      </c>
    </row>
    <row r="63" spans="1:5" x14ac:dyDescent="0.25">
      <c r="A63" s="313">
        <v>60</v>
      </c>
      <c r="B63" s="299"/>
      <c r="C63" s="300"/>
      <c r="D63" s="2">
        <f t="shared" si="1"/>
        <v>0</v>
      </c>
      <c r="E63" s="2">
        <f t="shared" si="0"/>
        <v>0</v>
      </c>
    </row>
    <row r="64" spans="1:5" x14ac:dyDescent="0.25">
      <c r="A64" s="313">
        <v>61</v>
      </c>
      <c r="B64" s="299"/>
      <c r="C64" s="300"/>
      <c r="D64" s="2">
        <f t="shared" si="1"/>
        <v>0</v>
      </c>
      <c r="E64" s="2">
        <f t="shared" si="0"/>
        <v>0</v>
      </c>
    </row>
    <row r="65" spans="1:5" x14ac:dyDescent="0.25">
      <c r="A65" s="313">
        <v>62</v>
      </c>
      <c r="B65" s="299"/>
      <c r="C65" s="300"/>
      <c r="D65" s="2">
        <f t="shared" si="1"/>
        <v>0</v>
      </c>
      <c r="E65" s="2">
        <f t="shared" si="0"/>
        <v>0</v>
      </c>
    </row>
    <row r="66" spans="1:5" x14ac:dyDescent="0.25">
      <c r="A66" s="313">
        <v>63</v>
      </c>
      <c r="B66" s="299"/>
      <c r="C66" s="300"/>
      <c r="D66" s="2">
        <f t="shared" si="1"/>
        <v>0</v>
      </c>
      <c r="E66" s="2">
        <f t="shared" si="0"/>
        <v>0</v>
      </c>
    </row>
    <row r="67" spans="1:5" x14ac:dyDescent="0.25">
      <c r="A67" s="313">
        <v>64</v>
      </c>
      <c r="B67" s="299"/>
      <c r="C67" s="300"/>
      <c r="D67" s="2">
        <f t="shared" si="1"/>
        <v>0</v>
      </c>
      <c r="E67" s="2">
        <f t="shared" si="0"/>
        <v>0</v>
      </c>
    </row>
    <row r="68" spans="1:5" x14ac:dyDescent="0.25">
      <c r="A68" s="313">
        <v>65</v>
      </c>
      <c r="B68" s="299"/>
      <c r="C68" s="300"/>
      <c r="D68" s="2">
        <f t="shared" si="1"/>
        <v>0</v>
      </c>
      <c r="E68" s="2">
        <f t="shared" ref="E68:E131" si="2">D68*D68</f>
        <v>0</v>
      </c>
    </row>
    <row r="69" spans="1:5" x14ac:dyDescent="0.25">
      <c r="A69" s="313">
        <v>66</v>
      </c>
      <c r="B69" s="299"/>
      <c r="C69" s="300"/>
      <c r="D69" s="2">
        <f t="shared" ref="D69:D132" si="3">B69-C69</f>
        <v>0</v>
      </c>
      <c r="E69" s="2">
        <f t="shared" si="2"/>
        <v>0</v>
      </c>
    </row>
    <row r="70" spans="1:5" x14ac:dyDescent="0.25">
      <c r="A70" s="313">
        <v>67</v>
      </c>
      <c r="B70" s="299"/>
      <c r="C70" s="300"/>
      <c r="D70" s="2">
        <f t="shared" si="3"/>
        <v>0</v>
      </c>
      <c r="E70" s="2">
        <f t="shared" si="2"/>
        <v>0</v>
      </c>
    </row>
    <row r="71" spans="1:5" x14ac:dyDescent="0.25">
      <c r="A71" s="313">
        <v>68</v>
      </c>
      <c r="B71" s="299"/>
      <c r="C71" s="300"/>
      <c r="D71" s="2">
        <f t="shared" si="3"/>
        <v>0</v>
      </c>
      <c r="E71" s="2">
        <f t="shared" si="2"/>
        <v>0</v>
      </c>
    </row>
    <row r="72" spans="1:5" x14ac:dyDescent="0.25">
      <c r="A72" s="313">
        <v>69</v>
      </c>
      <c r="B72" s="299"/>
      <c r="C72" s="300"/>
      <c r="D72" s="2">
        <f t="shared" si="3"/>
        <v>0</v>
      </c>
      <c r="E72" s="2">
        <f t="shared" si="2"/>
        <v>0</v>
      </c>
    </row>
    <row r="73" spans="1:5" x14ac:dyDescent="0.25">
      <c r="A73" s="313">
        <v>70</v>
      </c>
      <c r="B73" s="299"/>
      <c r="C73" s="300"/>
      <c r="D73" s="2">
        <f t="shared" si="3"/>
        <v>0</v>
      </c>
      <c r="E73" s="2">
        <f t="shared" si="2"/>
        <v>0</v>
      </c>
    </row>
    <row r="74" spans="1:5" x14ac:dyDescent="0.25">
      <c r="A74" s="313">
        <v>71</v>
      </c>
      <c r="B74" s="299"/>
      <c r="C74" s="300"/>
      <c r="D74" s="2">
        <f t="shared" si="3"/>
        <v>0</v>
      </c>
      <c r="E74" s="2">
        <f t="shared" si="2"/>
        <v>0</v>
      </c>
    </row>
    <row r="75" spans="1:5" x14ac:dyDescent="0.25">
      <c r="A75" s="313">
        <v>72</v>
      </c>
      <c r="B75" s="299"/>
      <c r="C75" s="300"/>
      <c r="D75" s="2">
        <f t="shared" si="3"/>
        <v>0</v>
      </c>
      <c r="E75" s="2">
        <f t="shared" si="2"/>
        <v>0</v>
      </c>
    </row>
    <row r="76" spans="1:5" x14ac:dyDescent="0.25">
      <c r="A76" s="313">
        <v>73</v>
      </c>
      <c r="B76" s="299"/>
      <c r="C76" s="300"/>
      <c r="D76" s="2">
        <f t="shared" si="3"/>
        <v>0</v>
      </c>
      <c r="E76" s="2">
        <f t="shared" si="2"/>
        <v>0</v>
      </c>
    </row>
    <row r="77" spans="1:5" x14ac:dyDescent="0.25">
      <c r="A77" s="313">
        <v>74</v>
      </c>
      <c r="B77" s="299"/>
      <c r="C77" s="300"/>
      <c r="D77" s="2">
        <f t="shared" si="3"/>
        <v>0</v>
      </c>
      <c r="E77" s="2">
        <f t="shared" si="2"/>
        <v>0</v>
      </c>
    </row>
    <row r="78" spans="1:5" x14ac:dyDescent="0.25">
      <c r="A78" s="313">
        <v>75</v>
      </c>
      <c r="B78" s="299"/>
      <c r="C78" s="300"/>
      <c r="D78" s="2">
        <f t="shared" si="3"/>
        <v>0</v>
      </c>
      <c r="E78" s="2">
        <f t="shared" si="2"/>
        <v>0</v>
      </c>
    </row>
    <row r="79" spans="1:5" x14ac:dyDescent="0.25">
      <c r="A79" s="313">
        <v>76</v>
      </c>
      <c r="B79" s="299"/>
      <c r="C79" s="300"/>
      <c r="D79" s="2">
        <f t="shared" si="3"/>
        <v>0</v>
      </c>
      <c r="E79" s="2">
        <f t="shared" si="2"/>
        <v>0</v>
      </c>
    </row>
    <row r="80" spans="1:5" x14ac:dyDescent="0.25">
      <c r="A80" s="313">
        <v>77</v>
      </c>
      <c r="B80" s="299"/>
      <c r="C80" s="300"/>
      <c r="D80" s="2">
        <f t="shared" si="3"/>
        <v>0</v>
      </c>
      <c r="E80" s="2">
        <f t="shared" si="2"/>
        <v>0</v>
      </c>
    </row>
    <row r="81" spans="1:5" x14ac:dyDescent="0.25">
      <c r="A81" s="313">
        <v>78</v>
      </c>
      <c r="B81" s="299"/>
      <c r="C81" s="300"/>
      <c r="D81" s="2">
        <f t="shared" si="3"/>
        <v>0</v>
      </c>
      <c r="E81" s="2">
        <f t="shared" si="2"/>
        <v>0</v>
      </c>
    </row>
    <row r="82" spans="1:5" x14ac:dyDescent="0.25">
      <c r="A82" s="313">
        <v>79</v>
      </c>
      <c r="B82" s="299"/>
      <c r="C82" s="300"/>
      <c r="D82" s="2">
        <f t="shared" si="3"/>
        <v>0</v>
      </c>
      <c r="E82" s="2">
        <f t="shared" si="2"/>
        <v>0</v>
      </c>
    </row>
    <row r="83" spans="1:5" x14ac:dyDescent="0.25">
      <c r="A83" s="313">
        <v>80</v>
      </c>
      <c r="B83" s="299"/>
      <c r="C83" s="300"/>
      <c r="D83" s="2">
        <f t="shared" si="3"/>
        <v>0</v>
      </c>
      <c r="E83" s="2">
        <f t="shared" si="2"/>
        <v>0</v>
      </c>
    </row>
    <row r="84" spans="1:5" x14ac:dyDescent="0.25">
      <c r="A84" s="313">
        <v>81</v>
      </c>
      <c r="B84" s="299"/>
      <c r="C84" s="300"/>
      <c r="D84" s="2">
        <f t="shared" si="3"/>
        <v>0</v>
      </c>
      <c r="E84" s="2">
        <f t="shared" si="2"/>
        <v>0</v>
      </c>
    </row>
    <row r="85" spans="1:5" x14ac:dyDescent="0.25">
      <c r="A85" s="313">
        <v>82</v>
      </c>
      <c r="B85" s="299"/>
      <c r="C85" s="300"/>
      <c r="D85" s="2">
        <f t="shared" si="3"/>
        <v>0</v>
      </c>
      <c r="E85" s="2">
        <f t="shared" si="2"/>
        <v>0</v>
      </c>
    </row>
    <row r="86" spans="1:5" x14ac:dyDescent="0.25">
      <c r="A86" s="313">
        <v>83</v>
      </c>
      <c r="B86" s="299"/>
      <c r="C86" s="300"/>
      <c r="D86" s="2">
        <f t="shared" si="3"/>
        <v>0</v>
      </c>
      <c r="E86" s="2">
        <f t="shared" si="2"/>
        <v>0</v>
      </c>
    </row>
    <row r="87" spans="1:5" x14ac:dyDescent="0.25">
      <c r="A87" s="313">
        <v>84</v>
      </c>
      <c r="B87" s="299"/>
      <c r="C87" s="300"/>
      <c r="D87" s="2">
        <f t="shared" si="3"/>
        <v>0</v>
      </c>
      <c r="E87" s="2">
        <f t="shared" si="2"/>
        <v>0</v>
      </c>
    </row>
    <row r="88" spans="1:5" x14ac:dyDescent="0.25">
      <c r="A88" s="313">
        <v>85</v>
      </c>
      <c r="B88" s="299"/>
      <c r="C88" s="300"/>
      <c r="D88" s="2">
        <f t="shared" si="3"/>
        <v>0</v>
      </c>
      <c r="E88" s="2">
        <f t="shared" si="2"/>
        <v>0</v>
      </c>
    </row>
    <row r="89" spans="1:5" x14ac:dyDescent="0.25">
      <c r="A89" s="313">
        <v>86</v>
      </c>
      <c r="B89" s="299"/>
      <c r="C89" s="300"/>
      <c r="D89" s="2">
        <f t="shared" si="3"/>
        <v>0</v>
      </c>
      <c r="E89" s="2">
        <f t="shared" si="2"/>
        <v>0</v>
      </c>
    </row>
    <row r="90" spans="1:5" x14ac:dyDescent="0.25">
      <c r="A90" s="313">
        <v>87</v>
      </c>
      <c r="B90" s="299"/>
      <c r="C90" s="300"/>
      <c r="D90" s="2">
        <f t="shared" si="3"/>
        <v>0</v>
      </c>
      <c r="E90" s="2">
        <f t="shared" si="2"/>
        <v>0</v>
      </c>
    </row>
    <row r="91" spans="1:5" x14ac:dyDescent="0.25">
      <c r="A91" s="313">
        <v>88</v>
      </c>
      <c r="B91" s="299"/>
      <c r="C91" s="300"/>
      <c r="D91" s="2">
        <f t="shared" si="3"/>
        <v>0</v>
      </c>
      <c r="E91" s="2">
        <f t="shared" si="2"/>
        <v>0</v>
      </c>
    </row>
    <row r="92" spans="1:5" x14ac:dyDescent="0.25">
      <c r="A92" s="313">
        <v>89</v>
      </c>
      <c r="B92" s="299"/>
      <c r="C92" s="300"/>
      <c r="D92" s="2">
        <f t="shared" si="3"/>
        <v>0</v>
      </c>
      <c r="E92" s="2">
        <f t="shared" si="2"/>
        <v>0</v>
      </c>
    </row>
    <row r="93" spans="1:5" x14ac:dyDescent="0.25">
      <c r="A93" s="313">
        <v>90</v>
      </c>
      <c r="B93" s="299"/>
      <c r="C93" s="300"/>
      <c r="D93" s="2">
        <f t="shared" si="3"/>
        <v>0</v>
      </c>
      <c r="E93" s="2">
        <f t="shared" si="2"/>
        <v>0</v>
      </c>
    </row>
    <row r="94" spans="1:5" x14ac:dyDescent="0.25">
      <c r="A94" s="313">
        <v>91</v>
      </c>
      <c r="B94" s="299"/>
      <c r="C94" s="300"/>
      <c r="D94" s="2">
        <f t="shared" si="3"/>
        <v>0</v>
      </c>
      <c r="E94" s="2">
        <f t="shared" si="2"/>
        <v>0</v>
      </c>
    </row>
    <row r="95" spans="1:5" x14ac:dyDescent="0.25">
      <c r="A95" s="313">
        <v>92</v>
      </c>
      <c r="B95" s="299"/>
      <c r="C95" s="300"/>
      <c r="D95" s="2">
        <f t="shared" si="3"/>
        <v>0</v>
      </c>
      <c r="E95" s="2">
        <f t="shared" si="2"/>
        <v>0</v>
      </c>
    </row>
    <row r="96" spans="1:5" x14ac:dyDescent="0.25">
      <c r="A96" s="313">
        <v>93</v>
      </c>
      <c r="B96" s="299"/>
      <c r="C96" s="300"/>
      <c r="D96" s="2">
        <f t="shared" si="3"/>
        <v>0</v>
      </c>
      <c r="E96" s="2">
        <f t="shared" si="2"/>
        <v>0</v>
      </c>
    </row>
    <row r="97" spans="1:5" x14ac:dyDescent="0.25">
      <c r="A97" s="313">
        <v>94</v>
      </c>
      <c r="B97" s="299"/>
      <c r="C97" s="300"/>
      <c r="D97" s="2">
        <f t="shared" si="3"/>
        <v>0</v>
      </c>
      <c r="E97" s="2">
        <f t="shared" si="2"/>
        <v>0</v>
      </c>
    </row>
    <row r="98" spans="1:5" x14ac:dyDescent="0.25">
      <c r="A98" s="313">
        <v>95</v>
      </c>
      <c r="B98" s="299"/>
      <c r="C98" s="300"/>
      <c r="D98" s="2">
        <f t="shared" si="3"/>
        <v>0</v>
      </c>
      <c r="E98" s="2">
        <f t="shared" si="2"/>
        <v>0</v>
      </c>
    </row>
    <row r="99" spans="1:5" x14ac:dyDescent="0.25">
      <c r="A99" s="313">
        <v>96</v>
      </c>
      <c r="B99" s="299"/>
      <c r="C99" s="300"/>
      <c r="D99" s="2">
        <f t="shared" si="3"/>
        <v>0</v>
      </c>
      <c r="E99" s="2">
        <f t="shared" si="2"/>
        <v>0</v>
      </c>
    </row>
    <row r="100" spans="1:5" x14ac:dyDescent="0.25">
      <c r="A100" s="313">
        <v>97</v>
      </c>
      <c r="B100" s="299"/>
      <c r="C100" s="300"/>
      <c r="D100" s="2">
        <f t="shared" si="3"/>
        <v>0</v>
      </c>
      <c r="E100" s="2">
        <f t="shared" si="2"/>
        <v>0</v>
      </c>
    </row>
    <row r="101" spans="1:5" x14ac:dyDescent="0.25">
      <c r="A101" s="313">
        <v>98</v>
      </c>
      <c r="B101" s="299"/>
      <c r="C101" s="300"/>
      <c r="D101" s="2">
        <f t="shared" si="3"/>
        <v>0</v>
      </c>
      <c r="E101" s="2">
        <f t="shared" si="2"/>
        <v>0</v>
      </c>
    </row>
    <row r="102" spans="1:5" x14ac:dyDescent="0.25">
      <c r="A102" s="313">
        <v>99</v>
      </c>
      <c r="B102" s="299"/>
      <c r="C102" s="300"/>
      <c r="D102" s="2">
        <f t="shared" si="3"/>
        <v>0</v>
      </c>
      <c r="E102" s="2">
        <f t="shared" si="2"/>
        <v>0</v>
      </c>
    </row>
    <row r="103" spans="1:5" x14ac:dyDescent="0.25">
      <c r="A103" s="313">
        <v>100</v>
      </c>
      <c r="B103" s="299"/>
      <c r="C103" s="300"/>
      <c r="D103" s="2">
        <f t="shared" ref="D103:D166" si="4">B153-C153</f>
        <v>0</v>
      </c>
      <c r="E103" s="2">
        <f t="shared" si="2"/>
        <v>0</v>
      </c>
    </row>
    <row r="104" spans="1:5" x14ac:dyDescent="0.25">
      <c r="A104" s="313">
        <v>101</v>
      </c>
      <c r="B104" s="299"/>
      <c r="C104" s="300"/>
      <c r="D104" s="2">
        <f t="shared" si="4"/>
        <v>0</v>
      </c>
      <c r="E104" s="2">
        <f t="shared" si="2"/>
        <v>0</v>
      </c>
    </row>
    <row r="105" spans="1:5" x14ac:dyDescent="0.25">
      <c r="A105" s="313">
        <v>102</v>
      </c>
      <c r="B105" s="299"/>
      <c r="C105" s="300"/>
      <c r="D105" s="2">
        <f t="shared" si="4"/>
        <v>0</v>
      </c>
      <c r="E105" s="2">
        <f t="shared" si="2"/>
        <v>0</v>
      </c>
    </row>
    <row r="106" spans="1:5" x14ac:dyDescent="0.25">
      <c r="A106" s="313">
        <v>103</v>
      </c>
      <c r="B106" s="299"/>
      <c r="C106" s="300"/>
      <c r="D106" s="2">
        <f t="shared" si="4"/>
        <v>0</v>
      </c>
      <c r="E106" s="2">
        <f t="shared" si="2"/>
        <v>0</v>
      </c>
    </row>
    <row r="107" spans="1:5" x14ac:dyDescent="0.25">
      <c r="A107" s="313">
        <v>104</v>
      </c>
      <c r="B107" s="299"/>
      <c r="C107" s="300"/>
      <c r="D107" s="2">
        <f t="shared" si="4"/>
        <v>0</v>
      </c>
      <c r="E107" s="2">
        <f t="shared" si="2"/>
        <v>0</v>
      </c>
    </row>
    <row r="108" spans="1:5" x14ac:dyDescent="0.25">
      <c r="A108" s="313">
        <v>105</v>
      </c>
      <c r="B108" s="299"/>
      <c r="C108" s="300"/>
      <c r="D108" s="2">
        <f t="shared" si="4"/>
        <v>0</v>
      </c>
      <c r="E108" s="2">
        <f t="shared" si="2"/>
        <v>0</v>
      </c>
    </row>
    <row r="109" spans="1:5" x14ac:dyDescent="0.25">
      <c r="A109" s="313">
        <v>106</v>
      </c>
      <c r="B109" s="299"/>
      <c r="C109" s="300"/>
      <c r="D109" s="2">
        <f t="shared" si="4"/>
        <v>0</v>
      </c>
      <c r="E109" s="2">
        <f t="shared" si="2"/>
        <v>0</v>
      </c>
    </row>
    <row r="110" spans="1:5" x14ac:dyDescent="0.25">
      <c r="A110" s="313">
        <v>107</v>
      </c>
      <c r="B110" s="299"/>
      <c r="C110" s="300"/>
      <c r="D110" s="2">
        <f t="shared" si="4"/>
        <v>0</v>
      </c>
      <c r="E110" s="2">
        <f t="shared" si="2"/>
        <v>0</v>
      </c>
    </row>
    <row r="111" spans="1:5" x14ac:dyDescent="0.25">
      <c r="A111" s="313">
        <v>108</v>
      </c>
      <c r="B111" s="299"/>
      <c r="C111" s="300"/>
      <c r="D111" s="2">
        <f t="shared" si="4"/>
        <v>0</v>
      </c>
      <c r="E111" s="2">
        <f t="shared" si="2"/>
        <v>0</v>
      </c>
    </row>
    <row r="112" spans="1:5" x14ac:dyDescent="0.25">
      <c r="A112" s="313">
        <v>109</v>
      </c>
      <c r="B112" s="299"/>
      <c r="C112" s="300"/>
      <c r="D112" s="2">
        <f t="shared" si="4"/>
        <v>0</v>
      </c>
      <c r="E112" s="2">
        <f t="shared" si="2"/>
        <v>0</v>
      </c>
    </row>
    <row r="113" spans="1:5" x14ac:dyDescent="0.25">
      <c r="A113" s="313">
        <v>110</v>
      </c>
      <c r="B113" s="299"/>
      <c r="C113" s="300"/>
      <c r="D113" s="2">
        <f t="shared" si="4"/>
        <v>0</v>
      </c>
      <c r="E113" s="2">
        <f t="shared" si="2"/>
        <v>0</v>
      </c>
    </row>
    <row r="114" spans="1:5" x14ac:dyDescent="0.25">
      <c r="A114" s="313">
        <v>111</v>
      </c>
      <c r="B114" s="299"/>
      <c r="C114" s="300"/>
      <c r="D114" s="2">
        <f t="shared" si="4"/>
        <v>0</v>
      </c>
      <c r="E114" s="2">
        <f t="shared" si="2"/>
        <v>0</v>
      </c>
    </row>
    <row r="115" spans="1:5" x14ac:dyDescent="0.25">
      <c r="A115" s="313">
        <v>112</v>
      </c>
      <c r="B115" s="299"/>
      <c r="C115" s="300"/>
      <c r="D115" s="2">
        <f t="shared" si="4"/>
        <v>0</v>
      </c>
      <c r="E115" s="2">
        <f t="shared" si="2"/>
        <v>0</v>
      </c>
    </row>
    <row r="116" spans="1:5" x14ac:dyDescent="0.25">
      <c r="A116" s="313">
        <v>113</v>
      </c>
      <c r="B116" s="299"/>
      <c r="C116" s="300"/>
      <c r="D116" s="2">
        <f t="shared" si="4"/>
        <v>0</v>
      </c>
      <c r="E116" s="2">
        <f t="shared" si="2"/>
        <v>0</v>
      </c>
    </row>
    <row r="117" spans="1:5" x14ac:dyDescent="0.25">
      <c r="A117" s="313">
        <v>114</v>
      </c>
      <c r="B117" s="299"/>
      <c r="C117" s="300"/>
      <c r="D117" s="2">
        <f t="shared" si="4"/>
        <v>0</v>
      </c>
      <c r="E117" s="2">
        <f t="shared" si="2"/>
        <v>0</v>
      </c>
    </row>
    <row r="118" spans="1:5" x14ac:dyDescent="0.25">
      <c r="A118" s="313">
        <v>115</v>
      </c>
      <c r="B118" s="299"/>
      <c r="C118" s="300"/>
      <c r="D118" s="2">
        <f t="shared" si="4"/>
        <v>0</v>
      </c>
      <c r="E118" s="2">
        <f t="shared" si="2"/>
        <v>0</v>
      </c>
    </row>
    <row r="119" spans="1:5" x14ac:dyDescent="0.25">
      <c r="A119" s="313">
        <v>116</v>
      </c>
      <c r="B119" s="299"/>
      <c r="C119" s="300"/>
      <c r="D119" s="2">
        <f t="shared" si="4"/>
        <v>0</v>
      </c>
      <c r="E119" s="2">
        <f t="shared" si="2"/>
        <v>0</v>
      </c>
    </row>
    <row r="120" spans="1:5" x14ac:dyDescent="0.25">
      <c r="A120" s="313">
        <v>117</v>
      </c>
      <c r="B120" s="299"/>
      <c r="C120" s="300"/>
      <c r="D120" s="2">
        <f t="shared" si="4"/>
        <v>0</v>
      </c>
      <c r="E120" s="2">
        <f t="shared" si="2"/>
        <v>0</v>
      </c>
    </row>
    <row r="121" spans="1:5" x14ac:dyDescent="0.25">
      <c r="A121" s="313">
        <v>118</v>
      </c>
      <c r="B121" s="299"/>
      <c r="C121" s="300"/>
      <c r="D121" s="2">
        <f t="shared" si="4"/>
        <v>0</v>
      </c>
      <c r="E121" s="2">
        <f t="shared" si="2"/>
        <v>0</v>
      </c>
    </row>
    <row r="122" spans="1:5" x14ac:dyDescent="0.25">
      <c r="A122" s="313">
        <v>119</v>
      </c>
      <c r="B122" s="299"/>
      <c r="C122" s="300"/>
      <c r="D122" s="2">
        <f t="shared" si="4"/>
        <v>0</v>
      </c>
      <c r="E122" s="2">
        <f t="shared" si="2"/>
        <v>0</v>
      </c>
    </row>
    <row r="123" spans="1:5" x14ac:dyDescent="0.25">
      <c r="A123" s="313">
        <v>120</v>
      </c>
      <c r="B123" s="299"/>
      <c r="C123" s="300"/>
      <c r="D123" s="2">
        <f t="shared" si="4"/>
        <v>0</v>
      </c>
      <c r="E123" s="2">
        <f t="shared" si="2"/>
        <v>0</v>
      </c>
    </row>
    <row r="124" spans="1:5" x14ac:dyDescent="0.25">
      <c r="A124" s="313">
        <v>121</v>
      </c>
      <c r="B124" s="299"/>
      <c r="C124" s="300"/>
      <c r="D124" s="2">
        <f t="shared" si="4"/>
        <v>0</v>
      </c>
      <c r="E124" s="2">
        <f t="shared" si="2"/>
        <v>0</v>
      </c>
    </row>
    <row r="125" spans="1:5" x14ac:dyDescent="0.25">
      <c r="A125" s="313">
        <v>122</v>
      </c>
      <c r="B125" s="299"/>
      <c r="C125" s="300"/>
      <c r="D125" s="2">
        <f t="shared" si="4"/>
        <v>0</v>
      </c>
      <c r="E125" s="2">
        <f t="shared" si="2"/>
        <v>0</v>
      </c>
    </row>
    <row r="126" spans="1:5" x14ac:dyDescent="0.25">
      <c r="A126" s="313">
        <v>123</v>
      </c>
      <c r="B126" s="299"/>
      <c r="C126" s="300"/>
      <c r="D126" s="2">
        <f t="shared" si="4"/>
        <v>0</v>
      </c>
      <c r="E126" s="2">
        <f t="shared" si="2"/>
        <v>0</v>
      </c>
    </row>
    <row r="127" spans="1:5" x14ac:dyDescent="0.25">
      <c r="A127" s="313">
        <v>124</v>
      </c>
      <c r="B127" s="299"/>
      <c r="C127" s="300"/>
      <c r="D127" s="2">
        <f t="shared" si="4"/>
        <v>0</v>
      </c>
      <c r="E127" s="2">
        <f t="shared" si="2"/>
        <v>0</v>
      </c>
    </row>
    <row r="128" spans="1:5" x14ac:dyDescent="0.25">
      <c r="A128" s="313">
        <v>125</v>
      </c>
      <c r="B128" s="299"/>
      <c r="C128" s="300"/>
      <c r="D128" s="2">
        <f t="shared" si="4"/>
        <v>0</v>
      </c>
      <c r="E128" s="2">
        <f t="shared" si="2"/>
        <v>0</v>
      </c>
    </row>
    <row r="129" spans="1:5" x14ac:dyDescent="0.25">
      <c r="A129" s="313">
        <v>126</v>
      </c>
      <c r="B129" s="299"/>
      <c r="C129" s="300"/>
      <c r="D129" s="2">
        <f t="shared" si="4"/>
        <v>0</v>
      </c>
      <c r="E129" s="2">
        <f t="shared" si="2"/>
        <v>0</v>
      </c>
    </row>
    <row r="130" spans="1:5" x14ac:dyDescent="0.25">
      <c r="A130" s="313">
        <v>127</v>
      </c>
      <c r="B130" s="299"/>
      <c r="C130" s="300"/>
      <c r="D130" s="2">
        <f t="shared" si="4"/>
        <v>0</v>
      </c>
      <c r="E130" s="2">
        <f t="shared" si="2"/>
        <v>0</v>
      </c>
    </row>
    <row r="131" spans="1:5" x14ac:dyDescent="0.25">
      <c r="A131" s="313">
        <v>128</v>
      </c>
      <c r="B131" s="299"/>
      <c r="C131" s="300"/>
      <c r="D131" s="2">
        <f t="shared" si="4"/>
        <v>0</v>
      </c>
      <c r="E131" s="2">
        <f t="shared" si="2"/>
        <v>0</v>
      </c>
    </row>
    <row r="132" spans="1:5" x14ac:dyDescent="0.25">
      <c r="A132" s="313">
        <v>129</v>
      </c>
      <c r="B132" s="299"/>
      <c r="C132" s="300"/>
      <c r="D132" s="2">
        <f t="shared" si="4"/>
        <v>0</v>
      </c>
      <c r="E132" s="2">
        <f t="shared" ref="E132:E195" si="5">D132*D132</f>
        <v>0</v>
      </c>
    </row>
    <row r="133" spans="1:5" x14ac:dyDescent="0.25">
      <c r="A133" s="313">
        <v>130</v>
      </c>
      <c r="B133" s="299"/>
      <c r="C133" s="300"/>
      <c r="D133" s="2">
        <f t="shared" si="4"/>
        <v>0</v>
      </c>
      <c r="E133" s="2">
        <f t="shared" si="5"/>
        <v>0</v>
      </c>
    </row>
    <row r="134" spans="1:5" x14ac:dyDescent="0.25">
      <c r="A134" s="313">
        <v>131</v>
      </c>
      <c r="B134" s="299"/>
      <c r="C134" s="300"/>
      <c r="D134" s="2">
        <f t="shared" si="4"/>
        <v>0</v>
      </c>
      <c r="E134" s="2">
        <f t="shared" si="5"/>
        <v>0</v>
      </c>
    </row>
    <row r="135" spans="1:5" x14ac:dyDescent="0.25">
      <c r="A135" s="313">
        <v>132</v>
      </c>
      <c r="B135" s="299"/>
      <c r="C135" s="300"/>
      <c r="D135" s="2">
        <f t="shared" si="4"/>
        <v>0</v>
      </c>
      <c r="E135" s="2">
        <f t="shared" si="5"/>
        <v>0</v>
      </c>
    </row>
    <row r="136" spans="1:5" x14ac:dyDescent="0.25">
      <c r="A136" s="313">
        <v>133</v>
      </c>
      <c r="B136" s="299"/>
      <c r="C136" s="300"/>
      <c r="D136" s="2">
        <f t="shared" si="4"/>
        <v>0</v>
      </c>
      <c r="E136" s="2">
        <f t="shared" si="5"/>
        <v>0</v>
      </c>
    </row>
    <row r="137" spans="1:5" x14ac:dyDescent="0.25">
      <c r="A137" s="313">
        <v>134</v>
      </c>
      <c r="B137" s="299"/>
      <c r="C137" s="300"/>
      <c r="D137" s="2">
        <f t="shared" si="4"/>
        <v>0</v>
      </c>
      <c r="E137" s="2">
        <f t="shared" si="5"/>
        <v>0</v>
      </c>
    </row>
    <row r="138" spans="1:5" x14ac:dyDescent="0.25">
      <c r="A138" s="313">
        <v>135</v>
      </c>
      <c r="B138" s="299"/>
      <c r="C138" s="300"/>
      <c r="D138" s="2">
        <f t="shared" si="4"/>
        <v>0</v>
      </c>
      <c r="E138" s="2">
        <f t="shared" si="5"/>
        <v>0</v>
      </c>
    </row>
    <row r="139" spans="1:5" x14ac:dyDescent="0.25">
      <c r="A139" s="313">
        <v>136</v>
      </c>
      <c r="B139" s="299"/>
      <c r="C139" s="300"/>
      <c r="D139" s="2">
        <f t="shared" si="4"/>
        <v>0</v>
      </c>
      <c r="E139" s="2">
        <f t="shared" si="5"/>
        <v>0</v>
      </c>
    </row>
    <row r="140" spans="1:5" x14ac:dyDescent="0.25">
      <c r="A140" s="313">
        <v>137</v>
      </c>
      <c r="B140" s="299"/>
      <c r="C140" s="300"/>
      <c r="D140" s="2">
        <f t="shared" si="4"/>
        <v>0</v>
      </c>
      <c r="E140" s="2">
        <f t="shared" si="5"/>
        <v>0</v>
      </c>
    </row>
    <row r="141" spans="1:5" x14ac:dyDescent="0.25">
      <c r="A141" s="313">
        <v>138</v>
      </c>
      <c r="B141" s="299"/>
      <c r="C141" s="300"/>
      <c r="D141" s="2">
        <f t="shared" si="4"/>
        <v>0</v>
      </c>
      <c r="E141" s="2">
        <f t="shared" si="5"/>
        <v>0</v>
      </c>
    </row>
    <row r="142" spans="1:5" x14ac:dyDescent="0.25">
      <c r="A142" s="313">
        <v>139</v>
      </c>
      <c r="B142" s="299"/>
      <c r="C142" s="300"/>
      <c r="D142" s="2">
        <f t="shared" si="4"/>
        <v>0</v>
      </c>
      <c r="E142" s="2">
        <f t="shared" si="5"/>
        <v>0</v>
      </c>
    </row>
    <row r="143" spans="1:5" x14ac:dyDescent="0.25">
      <c r="A143" s="313">
        <v>140</v>
      </c>
      <c r="B143" s="299"/>
      <c r="C143" s="300"/>
      <c r="D143" s="2">
        <f t="shared" si="4"/>
        <v>0</v>
      </c>
      <c r="E143" s="2">
        <f t="shared" si="5"/>
        <v>0</v>
      </c>
    </row>
    <row r="144" spans="1:5" x14ac:dyDescent="0.25">
      <c r="A144" s="313">
        <v>141</v>
      </c>
      <c r="B144" s="299"/>
      <c r="C144" s="300"/>
      <c r="D144" s="2">
        <f t="shared" si="4"/>
        <v>0</v>
      </c>
      <c r="E144" s="2">
        <f t="shared" si="5"/>
        <v>0</v>
      </c>
    </row>
    <row r="145" spans="1:5" x14ac:dyDescent="0.25">
      <c r="A145" s="313">
        <v>142</v>
      </c>
      <c r="B145" s="299"/>
      <c r="C145" s="300"/>
      <c r="D145" s="2">
        <f t="shared" si="4"/>
        <v>0</v>
      </c>
      <c r="E145" s="2">
        <f t="shared" si="5"/>
        <v>0</v>
      </c>
    </row>
    <row r="146" spans="1:5" x14ac:dyDescent="0.25">
      <c r="A146" s="313">
        <v>143</v>
      </c>
      <c r="B146" s="299"/>
      <c r="C146" s="300"/>
      <c r="D146" s="2">
        <f t="shared" si="4"/>
        <v>0</v>
      </c>
      <c r="E146" s="2">
        <f t="shared" si="5"/>
        <v>0</v>
      </c>
    </row>
    <row r="147" spans="1:5" x14ac:dyDescent="0.25">
      <c r="A147" s="313">
        <v>144</v>
      </c>
      <c r="B147" s="299"/>
      <c r="C147" s="300"/>
      <c r="D147" s="2">
        <f t="shared" si="4"/>
        <v>0</v>
      </c>
      <c r="E147" s="2">
        <f t="shared" si="5"/>
        <v>0</v>
      </c>
    </row>
    <row r="148" spans="1:5" x14ac:dyDescent="0.25">
      <c r="A148" s="313">
        <v>145</v>
      </c>
      <c r="B148" s="299"/>
      <c r="C148" s="300"/>
      <c r="D148" s="2">
        <f t="shared" si="4"/>
        <v>0</v>
      </c>
      <c r="E148" s="2">
        <f t="shared" si="5"/>
        <v>0</v>
      </c>
    </row>
    <row r="149" spans="1:5" x14ac:dyDescent="0.25">
      <c r="A149" s="313">
        <v>146</v>
      </c>
      <c r="B149" s="299"/>
      <c r="C149" s="300"/>
      <c r="D149" s="2">
        <f t="shared" si="4"/>
        <v>0</v>
      </c>
      <c r="E149" s="2">
        <f t="shared" si="5"/>
        <v>0</v>
      </c>
    </row>
    <row r="150" spans="1:5" x14ac:dyDescent="0.25">
      <c r="A150" s="313">
        <v>147</v>
      </c>
      <c r="B150" s="299"/>
      <c r="C150" s="300"/>
      <c r="D150" s="2">
        <f t="shared" si="4"/>
        <v>0</v>
      </c>
      <c r="E150" s="2">
        <f t="shared" si="5"/>
        <v>0</v>
      </c>
    </row>
    <row r="151" spans="1:5" x14ac:dyDescent="0.25">
      <c r="A151" s="313">
        <v>148</v>
      </c>
      <c r="B151" s="299"/>
      <c r="C151" s="300"/>
      <c r="D151" s="2">
        <f t="shared" si="4"/>
        <v>0</v>
      </c>
      <c r="E151" s="2">
        <f t="shared" si="5"/>
        <v>0</v>
      </c>
    </row>
    <row r="152" spans="1:5" x14ac:dyDescent="0.25">
      <c r="A152" s="313">
        <v>149</v>
      </c>
      <c r="B152" s="299"/>
      <c r="C152" s="300"/>
      <c r="D152" s="2">
        <f t="shared" si="4"/>
        <v>0</v>
      </c>
      <c r="E152" s="2">
        <f t="shared" si="5"/>
        <v>0</v>
      </c>
    </row>
    <row r="153" spans="1:5" ht="12" customHeight="1" x14ac:dyDescent="0.25">
      <c r="A153" s="313">
        <v>150</v>
      </c>
      <c r="B153" s="299"/>
      <c r="C153" s="300"/>
      <c r="D153" s="2">
        <f t="shared" si="4"/>
        <v>0</v>
      </c>
      <c r="E153" s="2">
        <f t="shared" si="5"/>
        <v>0</v>
      </c>
    </row>
    <row r="154" spans="1:5" x14ac:dyDescent="0.25">
      <c r="A154" s="313">
        <v>151</v>
      </c>
      <c r="B154" s="299"/>
      <c r="C154" s="300"/>
      <c r="D154" s="2">
        <f t="shared" si="4"/>
        <v>0</v>
      </c>
      <c r="E154" s="2">
        <f t="shared" si="5"/>
        <v>0</v>
      </c>
    </row>
    <row r="155" spans="1:5" x14ac:dyDescent="0.25">
      <c r="A155" s="313">
        <v>152</v>
      </c>
      <c r="B155" s="299"/>
      <c r="C155" s="300"/>
      <c r="D155" s="2">
        <f t="shared" si="4"/>
        <v>0</v>
      </c>
      <c r="E155" s="2">
        <f t="shared" si="5"/>
        <v>0</v>
      </c>
    </row>
    <row r="156" spans="1:5" x14ac:dyDescent="0.25">
      <c r="A156" s="313">
        <v>153</v>
      </c>
      <c r="B156" s="299"/>
      <c r="C156" s="300"/>
      <c r="D156" s="2">
        <f t="shared" si="4"/>
        <v>0</v>
      </c>
      <c r="E156" s="2">
        <f t="shared" si="5"/>
        <v>0</v>
      </c>
    </row>
    <row r="157" spans="1:5" x14ac:dyDescent="0.25">
      <c r="A157" s="313">
        <v>154</v>
      </c>
      <c r="B157" s="299"/>
      <c r="C157" s="300"/>
      <c r="D157" s="2">
        <f t="shared" si="4"/>
        <v>0</v>
      </c>
      <c r="E157" s="2">
        <f t="shared" si="5"/>
        <v>0</v>
      </c>
    </row>
    <row r="158" spans="1:5" x14ac:dyDescent="0.25">
      <c r="A158" s="313">
        <v>155</v>
      </c>
      <c r="B158" s="299"/>
      <c r="C158" s="300"/>
      <c r="D158" s="2">
        <f t="shared" si="4"/>
        <v>0</v>
      </c>
      <c r="E158" s="2">
        <f t="shared" si="5"/>
        <v>0</v>
      </c>
    </row>
    <row r="159" spans="1:5" x14ac:dyDescent="0.25">
      <c r="A159" s="313">
        <v>156</v>
      </c>
      <c r="B159" s="299"/>
      <c r="C159" s="300"/>
      <c r="D159" s="2">
        <f t="shared" si="4"/>
        <v>0</v>
      </c>
      <c r="E159" s="2">
        <f t="shared" si="5"/>
        <v>0</v>
      </c>
    </row>
    <row r="160" spans="1:5" x14ac:dyDescent="0.25">
      <c r="A160" s="313">
        <v>157</v>
      </c>
      <c r="B160" s="299"/>
      <c r="C160" s="300"/>
      <c r="D160" s="2">
        <f t="shared" si="4"/>
        <v>0</v>
      </c>
      <c r="E160" s="2">
        <f t="shared" si="5"/>
        <v>0</v>
      </c>
    </row>
    <row r="161" spans="1:5" x14ac:dyDescent="0.25">
      <c r="A161" s="313">
        <v>158</v>
      </c>
      <c r="B161" s="299"/>
      <c r="C161" s="300"/>
      <c r="D161" s="2">
        <f t="shared" si="4"/>
        <v>0</v>
      </c>
      <c r="E161" s="2">
        <f t="shared" si="5"/>
        <v>0</v>
      </c>
    </row>
    <row r="162" spans="1:5" x14ac:dyDescent="0.25">
      <c r="A162" s="313">
        <v>159</v>
      </c>
      <c r="B162" s="299"/>
      <c r="C162" s="300"/>
      <c r="D162" s="2">
        <f t="shared" si="4"/>
        <v>0</v>
      </c>
      <c r="E162" s="2">
        <f t="shared" si="5"/>
        <v>0</v>
      </c>
    </row>
    <row r="163" spans="1:5" x14ac:dyDescent="0.25">
      <c r="A163" s="313">
        <v>160</v>
      </c>
      <c r="B163" s="299"/>
      <c r="C163" s="300"/>
      <c r="D163" s="2">
        <f t="shared" si="4"/>
        <v>0</v>
      </c>
      <c r="E163" s="2">
        <f t="shared" si="5"/>
        <v>0</v>
      </c>
    </row>
    <row r="164" spans="1:5" x14ac:dyDescent="0.25">
      <c r="A164" s="313">
        <v>161</v>
      </c>
      <c r="B164" s="299"/>
      <c r="C164" s="300"/>
      <c r="D164" s="2">
        <f t="shared" si="4"/>
        <v>0</v>
      </c>
      <c r="E164" s="2">
        <f t="shared" si="5"/>
        <v>0</v>
      </c>
    </row>
    <row r="165" spans="1:5" x14ac:dyDescent="0.25">
      <c r="A165" s="313">
        <v>162</v>
      </c>
      <c r="B165" s="299"/>
      <c r="C165" s="300"/>
      <c r="D165" s="2">
        <f t="shared" si="4"/>
        <v>0</v>
      </c>
      <c r="E165" s="2">
        <f t="shared" si="5"/>
        <v>0</v>
      </c>
    </row>
    <row r="166" spans="1:5" x14ac:dyDescent="0.25">
      <c r="A166" s="313">
        <v>163</v>
      </c>
      <c r="B166" s="299"/>
      <c r="C166" s="300"/>
      <c r="D166" s="2">
        <f t="shared" si="4"/>
        <v>0</v>
      </c>
      <c r="E166" s="2">
        <f t="shared" si="5"/>
        <v>0</v>
      </c>
    </row>
    <row r="167" spans="1:5" x14ac:dyDescent="0.25">
      <c r="A167" s="313">
        <v>164</v>
      </c>
      <c r="B167" s="299"/>
      <c r="C167" s="300"/>
      <c r="D167" s="2">
        <f t="shared" ref="D167:D216" si="6">B217-C217</f>
        <v>0</v>
      </c>
      <c r="E167" s="2">
        <f t="shared" si="5"/>
        <v>0</v>
      </c>
    </row>
    <row r="168" spans="1:5" x14ac:dyDescent="0.25">
      <c r="A168" s="313">
        <v>165</v>
      </c>
      <c r="B168" s="299"/>
      <c r="C168" s="300"/>
      <c r="D168" s="2">
        <f t="shared" si="6"/>
        <v>0</v>
      </c>
      <c r="E168" s="2">
        <f t="shared" si="5"/>
        <v>0</v>
      </c>
    </row>
    <row r="169" spans="1:5" x14ac:dyDescent="0.25">
      <c r="A169" s="313">
        <v>166</v>
      </c>
      <c r="B169" s="299"/>
      <c r="C169" s="300"/>
      <c r="D169" s="2">
        <f t="shared" si="6"/>
        <v>0</v>
      </c>
      <c r="E169" s="2">
        <f t="shared" si="5"/>
        <v>0</v>
      </c>
    </row>
    <row r="170" spans="1:5" x14ac:dyDescent="0.25">
      <c r="A170" s="313">
        <v>167</v>
      </c>
      <c r="B170" s="299"/>
      <c r="C170" s="300"/>
      <c r="D170" s="2">
        <f t="shared" si="6"/>
        <v>0</v>
      </c>
      <c r="E170" s="2">
        <f t="shared" si="5"/>
        <v>0</v>
      </c>
    </row>
    <row r="171" spans="1:5" x14ac:dyDescent="0.25">
      <c r="A171" s="313">
        <v>168</v>
      </c>
      <c r="B171" s="299"/>
      <c r="C171" s="300"/>
      <c r="D171" s="2">
        <f t="shared" si="6"/>
        <v>0</v>
      </c>
      <c r="E171" s="2">
        <f t="shared" si="5"/>
        <v>0</v>
      </c>
    </row>
    <row r="172" spans="1:5" x14ac:dyDescent="0.25">
      <c r="A172" s="313">
        <v>169</v>
      </c>
      <c r="B172" s="299"/>
      <c r="C172" s="300"/>
      <c r="D172" s="2">
        <f t="shared" si="6"/>
        <v>0</v>
      </c>
      <c r="E172" s="2">
        <f t="shared" si="5"/>
        <v>0</v>
      </c>
    </row>
    <row r="173" spans="1:5" x14ac:dyDescent="0.25">
      <c r="A173" s="313">
        <v>170</v>
      </c>
      <c r="B173" s="299"/>
      <c r="C173" s="300"/>
      <c r="D173" s="2">
        <f t="shared" si="6"/>
        <v>0</v>
      </c>
      <c r="E173" s="2">
        <f t="shared" si="5"/>
        <v>0</v>
      </c>
    </row>
    <row r="174" spans="1:5" x14ac:dyDescent="0.25">
      <c r="A174" s="313">
        <v>171</v>
      </c>
      <c r="B174" s="299"/>
      <c r="C174" s="300"/>
      <c r="D174" s="2">
        <f t="shared" si="6"/>
        <v>0</v>
      </c>
      <c r="E174" s="2">
        <f t="shared" si="5"/>
        <v>0</v>
      </c>
    </row>
    <row r="175" spans="1:5" x14ac:dyDescent="0.25">
      <c r="A175" s="313">
        <v>172</v>
      </c>
      <c r="B175" s="299"/>
      <c r="C175" s="300"/>
      <c r="D175" s="2">
        <f t="shared" si="6"/>
        <v>0</v>
      </c>
      <c r="E175" s="2">
        <f t="shared" si="5"/>
        <v>0</v>
      </c>
    </row>
    <row r="176" spans="1:5" x14ac:dyDescent="0.25">
      <c r="A176" s="313">
        <v>173</v>
      </c>
      <c r="B176" s="299"/>
      <c r="C176" s="300"/>
      <c r="D176" s="2">
        <f t="shared" si="6"/>
        <v>0</v>
      </c>
      <c r="E176" s="2">
        <f t="shared" si="5"/>
        <v>0</v>
      </c>
    </row>
    <row r="177" spans="1:5" x14ac:dyDescent="0.25">
      <c r="A177" s="313">
        <v>174</v>
      </c>
      <c r="B177" s="299"/>
      <c r="C177" s="300"/>
      <c r="D177" s="2">
        <f t="shared" si="6"/>
        <v>0</v>
      </c>
      <c r="E177" s="2">
        <f t="shared" si="5"/>
        <v>0</v>
      </c>
    </row>
    <row r="178" spans="1:5" x14ac:dyDescent="0.25">
      <c r="A178" s="313">
        <v>175</v>
      </c>
      <c r="B178" s="299"/>
      <c r="C178" s="300"/>
      <c r="D178" s="2">
        <f t="shared" si="6"/>
        <v>0</v>
      </c>
      <c r="E178" s="2">
        <f t="shared" si="5"/>
        <v>0</v>
      </c>
    </row>
    <row r="179" spans="1:5" x14ac:dyDescent="0.25">
      <c r="A179" s="313">
        <v>176</v>
      </c>
      <c r="B179" s="299"/>
      <c r="C179" s="300"/>
      <c r="D179" s="2">
        <f t="shared" si="6"/>
        <v>0</v>
      </c>
      <c r="E179" s="2">
        <f t="shared" si="5"/>
        <v>0</v>
      </c>
    </row>
    <row r="180" spans="1:5" x14ac:dyDescent="0.25">
      <c r="A180" s="313">
        <v>177</v>
      </c>
      <c r="B180" s="299"/>
      <c r="C180" s="300"/>
      <c r="D180" s="2">
        <f t="shared" si="6"/>
        <v>0</v>
      </c>
      <c r="E180" s="2">
        <f t="shared" si="5"/>
        <v>0</v>
      </c>
    </row>
    <row r="181" spans="1:5" x14ac:dyDescent="0.25">
      <c r="A181" s="313">
        <v>178</v>
      </c>
      <c r="B181" s="299"/>
      <c r="C181" s="300"/>
      <c r="D181" s="2">
        <f t="shared" si="6"/>
        <v>0</v>
      </c>
      <c r="E181" s="2">
        <f t="shared" si="5"/>
        <v>0</v>
      </c>
    </row>
    <row r="182" spans="1:5" x14ac:dyDescent="0.25">
      <c r="A182" s="313">
        <v>179</v>
      </c>
      <c r="B182" s="299"/>
      <c r="C182" s="300"/>
      <c r="D182" s="2">
        <f t="shared" si="6"/>
        <v>0</v>
      </c>
      <c r="E182" s="2">
        <f t="shared" si="5"/>
        <v>0</v>
      </c>
    </row>
    <row r="183" spans="1:5" x14ac:dyDescent="0.25">
      <c r="A183" s="313">
        <v>180</v>
      </c>
      <c r="B183" s="299"/>
      <c r="C183" s="300"/>
      <c r="D183" s="2">
        <f t="shared" si="6"/>
        <v>0</v>
      </c>
      <c r="E183" s="2">
        <f t="shared" si="5"/>
        <v>0</v>
      </c>
    </row>
    <row r="184" spans="1:5" x14ac:dyDescent="0.25">
      <c r="A184" s="313">
        <v>181</v>
      </c>
      <c r="B184" s="299"/>
      <c r="C184" s="300"/>
      <c r="D184" s="2">
        <f t="shared" si="6"/>
        <v>0</v>
      </c>
      <c r="E184" s="2">
        <f t="shared" si="5"/>
        <v>0</v>
      </c>
    </row>
    <row r="185" spans="1:5" x14ac:dyDescent="0.25">
      <c r="A185" s="313">
        <v>182</v>
      </c>
      <c r="B185" s="299"/>
      <c r="C185" s="300"/>
      <c r="D185" s="2">
        <f t="shared" si="6"/>
        <v>0</v>
      </c>
      <c r="E185" s="2">
        <f t="shared" si="5"/>
        <v>0</v>
      </c>
    </row>
    <row r="186" spans="1:5" x14ac:dyDescent="0.25">
      <c r="A186" s="313">
        <v>183</v>
      </c>
      <c r="B186" s="299"/>
      <c r="C186" s="300"/>
      <c r="D186" s="2">
        <f t="shared" si="6"/>
        <v>0</v>
      </c>
      <c r="E186" s="2">
        <f t="shared" si="5"/>
        <v>0</v>
      </c>
    </row>
    <row r="187" spans="1:5" x14ac:dyDescent="0.25">
      <c r="A187" s="313">
        <v>184</v>
      </c>
      <c r="B187" s="299"/>
      <c r="C187" s="300"/>
      <c r="D187" s="2">
        <f t="shared" si="6"/>
        <v>0</v>
      </c>
      <c r="E187" s="2">
        <f t="shared" si="5"/>
        <v>0</v>
      </c>
    </row>
    <row r="188" spans="1:5" x14ac:dyDescent="0.25">
      <c r="A188" s="313">
        <v>185</v>
      </c>
      <c r="B188" s="299"/>
      <c r="C188" s="300"/>
      <c r="D188" s="2">
        <f t="shared" si="6"/>
        <v>0</v>
      </c>
      <c r="E188" s="2">
        <f t="shared" si="5"/>
        <v>0</v>
      </c>
    </row>
    <row r="189" spans="1:5" x14ac:dyDescent="0.25">
      <c r="A189" s="313">
        <v>186</v>
      </c>
      <c r="B189" s="299"/>
      <c r="C189" s="300"/>
      <c r="D189" s="2">
        <f t="shared" si="6"/>
        <v>0</v>
      </c>
      <c r="E189" s="2">
        <f t="shared" si="5"/>
        <v>0</v>
      </c>
    </row>
    <row r="190" spans="1:5" x14ac:dyDescent="0.25">
      <c r="A190" s="313">
        <v>187</v>
      </c>
      <c r="B190" s="299"/>
      <c r="C190" s="300"/>
      <c r="D190" s="2">
        <f t="shared" si="6"/>
        <v>0</v>
      </c>
      <c r="E190" s="2">
        <f t="shared" si="5"/>
        <v>0</v>
      </c>
    </row>
    <row r="191" spans="1:5" x14ac:dyDescent="0.25">
      <c r="A191" s="313">
        <v>188</v>
      </c>
      <c r="B191" s="299"/>
      <c r="C191" s="300"/>
      <c r="D191" s="2">
        <f t="shared" si="6"/>
        <v>0</v>
      </c>
      <c r="E191" s="2">
        <f t="shared" si="5"/>
        <v>0</v>
      </c>
    </row>
    <row r="192" spans="1:5" x14ac:dyDescent="0.25">
      <c r="A192" s="313">
        <v>189</v>
      </c>
      <c r="B192" s="299"/>
      <c r="C192" s="300"/>
      <c r="D192" s="2">
        <f t="shared" si="6"/>
        <v>0</v>
      </c>
      <c r="E192" s="2">
        <f t="shared" si="5"/>
        <v>0</v>
      </c>
    </row>
    <row r="193" spans="1:5" x14ac:dyDescent="0.25">
      <c r="A193" s="313">
        <v>190</v>
      </c>
      <c r="B193" s="299"/>
      <c r="C193" s="300"/>
      <c r="D193" s="2">
        <f t="shared" si="6"/>
        <v>0</v>
      </c>
      <c r="E193" s="2">
        <f t="shared" si="5"/>
        <v>0</v>
      </c>
    </row>
    <row r="194" spans="1:5" x14ac:dyDescent="0.25">
      <c r="A194" s="313">
        <v>191</v>
      </c>
      <c r="B194" s="299"/>
      <c r="C194" s="300"/>
      <c r="D194" s="2">
        <f t="shared" si="6"/>
        <v>0</v>
      </c>
      <c r="E194" s="2">
        <f t="shared" si="5"/>
        <v>0</v>
      </c>
    </row>
    <row r="195" spans="1:5" x14ac:dyDescent="0.25">
      <c r="A195" s="313">
        <v>192</v>
      </c>
      <c r="B195" s="299"/>
      <c r="C195" s="300"/>
      <c r="D195" s="2">
        <f t="shared" si="6"/>
        <v>0</v>
      </c>
      <c r="E195" s="2">
        <f t="shared" si="5"/>
        <v>0</v>
      </c>
    </row>
    <row r="196" spans="1:5" x14ac:dyDescent="0.25">
      <c r="A196" s="313">
        <v>193</v>
      </c>
      <c r="B196" s="299"/>
      <c r="C196" s="300"/>
      <c r="D196" s="2">
        <f t="shared" si="6"/>
        <v>0</v>
      </c>
      <c r="E196" s="2">
        <f t="shared" ref="E196:E245" si="7">D196*D196</f>
        <v>0</v>
      </c>
    </row>
    <row r="197" spans="1:5" x14ac:dyDescent="0.25">
      <c r="A197" s="313">
        <v>194</v>
      </c>
      <c r="B197" s="299"/>
      <c r="C197" s="300"/>
      <c r="D197" s="2">
        <f t="shared" si="6"/>
        <v>0</v>
      </c>
      <c r="E197" s="2">
        <f t="shared" si="7"/>
        <v>0</v>
      </c>
    </row>
    <row r="198" spans="1:5" x14ac:dyDescent="0.25">
      <c r="A198" s="313">
        <v>195</v>
      </c>
      <c r="B198" s="299"/>
      <c r="C198" s="300"/>
      <c r="D198" s="2">
        <f t="shared" si="6"/>
        <v>0</v>
      </c>
      <c r="E198" s="2">
        <f t="shared" si="7"/>
        <v>0</v>
      </c>
    </row>
    <row r="199" spans="1:5" x14ac:dyDescent="0.25">
      <c r="A199" s="313">
        <v>196</v>
      </c>
      <c r="B199" s="299"/>
      <c r="C199" s="300"/>
      <c r="D199" s="2">
        <f t="shared" si="6"/>
        <v>0</v>
      </c>
      <c r="E199" s="2">
        <f t="shared" si="7"/>
        <v>0</v>
      </c>
    </row>
    <row r="200" spans="1:5" x14ac:dyDescent="0.25">
      <c r="A200" s="313">
        <v>197</v>
      </c>
      <c r="B200" s="299"/>
      <c r="C200" s="300"/>
      <c r="D200" s="2">
        <f t="shared" si="6"/>
        <v>0</v>
      </c>
      <c r="E200" s="2">
        <f t="shared" si="7"/>
        <v>0</v>
      </c>
    </row>
    <row r="201" spans="1:5" x14ac:dyDescent="0.25">
      <c r="A201" s="313">
        <v>198</v>
      </c>
      <c r="B201" s="299"/>
      <c r="C201" s="300"/>
      <c r="D201" s="2">
        <f t="shared" si="6"/>
        <v>0</v>
      </c>
      <c r="E201" s="2">
        <f t="shared" si="7"/>
        <v>0</v>
      </c>
    </row>
    <row r="202" spans="1:5" x14ac:dyDescent="0.25">
      <c r="A202" s="313">
        <v>199</v>
      </c>
      <c r="B202" s="299"/>
      <c r="C202" s="300"/>
      <c r="D202" s="2">
        <f t="shared" si="6"/>
        <v>0</v>
      </c>
      <c r="E202" s="2">
        <f t="shared" si="7"/>
        <v>0</v>
      </c>
    </row>
    <row r="203" spans="1:5" x14ac:dyDescent="0.25">
      <c r="A203" s="313">
        <v>200</v>
      </c>
      <c r="B203" s="299"/>
      <c r="C203" s="300"/>
      <c r="D203" s="2">
        <f t="shared" si="6"/>
        <v>0</v>
      </c>
      <c r="E203" s="2">
        <f t="shared" si="7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G15:K15"/>
    <mergeCell ref="G16:K16"/>
    <mergeCell ref="G17:K17"/>
  </mergeCells>
  <dataValidations count="1">
    <dataValidation type="decimal" allowBlank="1" showInputMessage="1" showErrorMessage="1" sqref="H3" xr:uid="{98CABEFA-B894-4DC5-9D7E-16741DFB191C}">
      <formula1>0</formula1>
      <formula2>1</formula2>
    </dataValidation>
  </dataValidations>
  <printOptions gridLines="1" gridLinesSet="0"/>
  <pageMargins left="0.75" right="0.75" top="1" bottom="1" header="0.5" footer="0.5"/>
  <pageSetup scale="92" orientation="landscape" horizontalDpi="300" verticalDpi="300" r:id="rId1"/>
  <headerFooter alignWithMargins="0">
    <oddHeader>&amp;A</oddHead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28"/>
  <sheetViews>
    <sheetView workbookViewId="0">
      <selection activeCell="N15" sqref="N15"/>
    </sheetView>
  </sheetViews>
  <sheetFormatPr defaultColWidth="9.109375" defaultRowHeight="13.2" x14ac:dyDescent="0.25"/>
  <cols>
    <col min="1" max="1" width="7.5546875" style="2" customWidth="1"/>
    <col min="2" max="3" width="12.44140625" style="2" customWidth="1"/>
    <col min="4" max="5" width="6.109375" style="2" hidden="1" customWidth="1"/>
    <col min="6" max="6" width="10.33203125" style="2" customWidth="1"/>
    <col min="7" max="7" width="23.5546875" style="2" customWidth="1"/>
    <col min="8" max="8" width="12.5546875" style="2" customWidth="1"/>
    <col min="9" max="9" width="12.44140625" style="2" bestFit="1" customWidth="1"/>
    <col min="10" max="10" width="9.109375" style="2"/>
    <col min="11" max="11" width="33.6640625" style="2" customWidth="1"/>
    <col min="12" max="16384" width="9.109375" style="2"/>
  </cols>
  <sheetData>
    <row r="1" spans="1:11" s="25" customFormat="1" ht="21" x14ac:dyDescent="0.4">
      <c r="A1" s="4" t="s">
        <v>17</v>
      </c>
      <c r="B1" s="24"/>
      <c r="C1" s="23"/>
      <c r="D1" s="23"/>
      <c r="E1" s="23"/>
      <c r="F1" s="23"/>
      <c r="G1" s="24"/>
      <c r="H1" s="24"/>
      <c r="I1" s="24"/>
    </row>
    <row r="2" spans="1:11" ht="12.75" customHeight="1" x14ac:dyDescent="0.4">
      <c r="G2" s="26"/>
      <c r="H2" s="27"/>
      <c r="I2" s="27"/>
    </row>
    <row r="3" spans="1:11" ht="12.75" customHeight="1" thickBot="1" x14ac:dyDescent="0.3">
      <c r="A3" s="36" t="s">
        <v>18</v>
      </c>
      <c r="B3" s="309" t="s">
        <v>280</v>
      </c>
      <c r="C3" s="310" t="s">
        <v>281</v>
      </c>
      <c r="G3" s="5" t="s">
        <v>0</v>
      </c>
      <c r="H3" s="28">
        <v>0.01</v>
      </c>
      <c r="I3" s="27"/>
    </row>
    <row r="4" spans="1:11" ht="12.75" customHeight="1" x14ac:dyDescent="0.25">
      <c r="A4" s="38">
        <v>1</v>
      </c>
      <c r="B4" s="299">
        <v>14</v>
      </c>
      <c r="C4" s="300">
        <v>2</v>
      </c>
      <c r="D4" s="2">
        <f t="shared" ref="D4:D28" si="0">B4-C4</f>
        <v>12</v>
      </c>
      <c r="E4" s="2">
        <f t="shared" ref="E4:E28" si="1">D4*D4</f>
        <v>144</v>
      </c>
      <c r="I4" s="27"/>
    </row>
    <row r="5" spans="1:11" ht="12.75" customHeight="1" x14ac:dyDescent="0.25">
      <c r="A5" s="38">
        <v>2</v>
      </c>
      <c r="B5" s="299">
        <v>7</v>
      </c>
      <c r="C5" s="300">
        <v>7</v>
      </c>
      <c r="D5" s="2">
        <f t="shared" si="0"/>
        <v>0</v>
      </c>
      <c r="E5" s="2">
        <f t="shared" si="1"/>
        <v>0</v>
      </c>
      <c r="G5" s="6" t="s">
        <v>15</v>
      </c>
      <c r="H5" s="7">
        <f>SQRT((SUM(E4:E28)-(SUM(D4:D28)^2)/COUNT(B4:B28))/(COUNT(B4:B28)-1))</f>
        <v>4.8384619752266609</v>
      </c>
      <c r="I5" s="30"/>
    </row>
    <row r="6" spans="1:11" ht="12.75" customHeight="1" x14ac:dyDescent="0.25">
      <c r="A6" s="38">
        <v>3</v>
      </c>
      <c r="B6" s="299">
        <v>4</v>
      </c>
      <c r="C6" s="300">
        <v>3</v>
      </c>
      <c r="D6" s="2">
        <f t="shared" si="0"/>
        <v>1</v>
      </c>
      <c r="E6" s="2">
        <f t="shared" si="1"/>
        <v>1</v>
      </c>
      <c r="G6" s="6" t="s">
        <v>8</v>
      </c>
      <c r="H6" s="7">
        <f>(SUM(D4:D28)/COUNT(B4:B28))/(H5/SQRT(COUNT(B4:B28)))</f>
        <v>2.1190718000268318</v>
      </c>
      <c r="I6" s="30"/>
    </row>
    <row r="7" spans="1:11" ht="12.75" customHeight="1" x14ac:dyDescent="0.25">
      <c r="A7" s="38">
        <v>4</v>
      </c>
      <c r="B7" s="299">
        <v>5</v>
      </c>
      <c r="C7" s="300">
        <v>6</v>
      </c>
      <c r="D7" s="2">
        <f t="shared" si="0"/>
        <v>-1</v>
      </c>
      <c r="E7" s="2">
        <f t="shared" si="1"/>
        <v>1</v>
      </c>
      <c r="G7" s="40"/>
      <c r="H7" s="30"/>
      <c r="I7" s="30"/>
    </row>
    <row r="8" spans="1:11" ht="12.75" customHeight="1" x14ac:dyDescent="0.25">
      <c r="A8" s="38">
        <v>5</v>
      </c>
      <c r="B8" s="299">
        <v>17</v>
      </c>
      <c r="C8" s="300">
        <v>8</v>
      </c>
      <c r="D8" s="2">
        <f t="shared" si="0"/>
        <v>9</v>
      </c>
      <c r="E8" s="2">
        <f t="shared" si="1"/>
        <v>81</v>
      </c>
      <c r="G8" s="41" t="str">
        <f>IF(COUNT(B4:B28)=COUNT(C4:C28),"","ERROR:  All data must be in pairs")</f>
        <v/>
      </c>
      <c r="H8" s="30"/>
      <c r="I8" s="30"/>
    </row>
    <row r="9" spans="1:11" ht="12.75" customHeight="1" thickBot="1" x14ac:dyDescent="0.3">
      <c r="A9" s="38">
        <v>6</v>
      </c>
      <c r="B9" s="299">
        <v>12</v>
      </c>
      <c r="C9" s="300">
        <v>13</v>
      </c>
      <c r="D9" s="2">
        <f t="shared" si="0"/>
        <v>-1</v>
      </c>
      <c r="E9" s="2">
        <f t="shared" si="1"/>
        <v>1</v>
      </c>
      <c r="G9" s="31"/>
      <c r="H9" s="27"/>
      <c r="I9" s="29"/>
    </row>
    <row r="10" spans="1:11" ht="12.75" customHeight="1" x14ac:dyDescent="0.25">
      <c r="A10" s="38">
        <v>7</v>
      </c>
      <c r="B10" s="299">
        <v>8</v>
      </c>
      <c r="C10" s="300">
        <v>3</v>
      </c>
      <c r="D10" s="2">
        <f t="shared" si="0"/>
        <v>5</v>
      </c>
      <c r="E10" s="2">
        <f t="shared" si="1"/>
        <v>25</v>
      </c>
      <c r="G10" s="43"/>
      <c r="H10" s="44" t="s">
        <v>19</v>
      </c>
      <c r="I10" s="44" t="s">
        <v>20</v>
      </c>
      <c r="J10" s="8" t="s">
        <v>12</v>
      </c>
      <c r="K10" s="9" t="s">
        <v>5</v>
      </c>
    </row>
    <row r="11" spans="1:11" ht="12.75" customHeight="1" x14ac:dyDescent="0.25">
      <c r="A11" s="38">
        <v>8</v>
      </c>
      <c r="B11" s="299">
        <v>9</v>
      </c>
      <c r="C11" s="300">
        <v>5</v>
      </c>
      <c r="D11" s="2">
        <f t="shared" si="0"/>
        <v>4</v>
      </c>
      <c r="E11" s="2">
        <f t="shared" si="1"/>
        <v>16</v>
      </c>
      <c r="G11" s="10"/>
      <c r="H11" s="45" t="s">
        <v>21</v>
      </c>
      <c r="I11" s="45" t="s">
        <v>21</v>
      </c>
      <c r="J11" s="46"/>
      <c r="K11" s="47"/>
    </row>
    <row r="12" spans="1:11" ht="12.75" customHeight="1" x14ac:dyDescent="0.25">
      <c r="A12" s="38">
        <v>9</v>
      </c>
      <c r="B12" s="299"/>
      <c r="C12" s="300"/>
      <c r="D12" s="2">
        <f t="shared" si="0"/>
        <v>0</v>
      </c>
      <c r="E12" s="2">
        <f t="shared" si="1"/>
        <v>0</v>
      </c>
      <c r="G12" s="10"/>
      <c r="H12" s="11"/>
      <c r="I12" s="11"/>
      <c r="J12" s="12"/>
      <c r="K12" s="13"/>
    </row>
    <row r="13" spans="1:11" ht="12.75" customHeight="1" x14ac:dyDescent="0.25">
      <c r="A13" s="38">
        <v>10</v>
      </c>
      <c r="B13" s="299"/>
      <c r="C13" s="300"/>
      <c r="D13" s="2">
        <f t="shared" si="0"/>
        <v>0</v>
      </c>
      <c r="E13" s="2">
        <f t="shared" si="1"/>
        <v>0</v>
      </c>
      <c r="G13" s="14" t="s">
        <v>4</v>
      </c>
      <c r="H13" s="32" t="s">
        <v>11</v>
      </c>
      <c r="I13" s="32">
        <f>TINV(2*$H$3,COUNT(B4:B28)-1)</f>
        <v>2.997951566868529</v>
      </c>
      <c r="J13" s="32">
        <f>IF(H6&lt;0,1-TDIST(ABS(H6),COUNT(B4:B28)-1,1),TDIST(ABS(H6),COUNT(B4:B28)-1,1))</f>
        <v>3.5909934945613155E-2</v>
      </c>
      <c r="K13" s="33" t="str">
        <f>IF(J13&lt;$H$3,"Reject the null hypothesis","Do not reject the null hypothesis")</f>
        <v>Do not reject the null hypothesis</v>
      </c>
    </row>
    <row r="14" spans="1:11" ht="12.75" customHeight="1" thickBot="1" x14ac:dyDescent="0.3">
      <c r="A14" s="38">
        <v>11</v>
      </c>
      <c r="B14" s="299"/>
      <c r="C14" s="300"/>
      <c r="D14" s="2">
        <f t="shared" si="0"/>
        <v>0</v>
      </c>
      <c r="E14" s="2">
        <f t="shared" si="1"/>
        <v>0</v>
      </c>
      <c r="G14" s="17" t="s">
        <v>24</v>
      </c>
      <c r="H14" s="15"/>
      <c r="I14" s="15"/>
      <c r="J14" s="34"/>
      <c r="K14" s="35"/>
    </row>
    <row r="15" spans="1:11" ht="12.75" customHeight="1" x14ac:dyDescent="0.25">
      <c r="A15" s="38">
        <v>12</v>
      </c>
      <c r="B15" s="299"/>
      <c r="C15" s="300"/>
      <c r="D15" s="2">
        <f t="shared" si="0"/>
        <v>0</v>
      </c>
      <c r="E15" s="2">
        <f t="shared" si="1"/>
        <v>0</v>
      </c>
    </row>
    <row r="16" spans="1:11" ht="12.75" customHeight="1" x14ac:dyDescent="0.25">
      <c r="A16" s="38">
        <v>13</v>
      </c>
      <c r="B16" s="299"/>
      <c r="C16" s="300"/>
      <c r="D16" s="2">
        <f t="shared" si="0"/>
        <v>0</v>
      </c>
      <c r="E16" s="2">
        <f t="shared" si="1"/>
        <v>0</v>
      </c>
      <c r="G16" s="236" t="s">
        <v>282</v>
      </c>
      <c r="H16" s="236"/>
      <c r="I16" s="236"/>
      <c r="J16" s="236"/>
      <c r="K16" s="236"/>
    </row>
    <row r="17" spans="1:5" ht="12.75" customHeight="1" x14ac:dyDescent="0.25">
      <c r="A17" s="38">
        <v>14</v>
      </c>
      <c r="B17" s="299"/>
      <c r="C17" s="300"/>
      <c r="D17" s="2">
        <f t="shared" si="0"/>
        <v>0</v>
      </c>
      <c r="E17" s="2">
        <f t="shared" si="1"/>
        <v>0</v>
      </c>
    </row>
    <row r="18" spans="1:5" ht="12.75" customHeight="1" x14ac:dyDescent="0.25">
      <c r="A18" s="38">
        <v>15</v>
      </c>
      <c r="B18" s="299"/>
      <c r="C18" s="300"/>
      <c r="D18" s="2">
        <f t="shared" si="0"/>
        <v>0</v>
      </c>
      <c r="E18" s="2">
        <f t="shared" si="1"/>
        <v>0</v>
      </c>
    </row>
    <row r="19" spans="1:5" x14ac:dyDescent="0.25">
      <c r="A19" s="38">
        <v>16</v>
      </c>
      <c r="B19" s="299"/>
      <c r="C19" s="300"/>
      <c r="D19" s="2">
        <f t="shared" si="0"/>
        <v>0</v>
      </c>
      <c r="E19" s="2">
        <f t="shared" si="1"/>
        <v>0</v>
      </c>
    </row>
    <row r="20" spans="1:5" x14ac:dyDescent="0.25">
      <c r="A20" s="38">
        <v>17</v>
      </c>
      <c r="B20" s="299"/>
      <c r="C20" s="300"/>
      <c r="D20" s="2">
        <f t="shared" si="0"/>
        <v>0</v>
      </c>
      <c r="E20" s="2">
        <f t="shared" si="1"/>
        <v>0</v>
      </c>
    </row>
    <row r="21" spans="1:5" x14ac:dyDescent="0.25">
      <c r="A21" s="38">
        <v>18</v>
      </c>
      <c r="B21" s="299"/>
      <c r="C21" s="300"/>
      <c r="D21" s="2">
        <f t="shared" si="0"/>
        <v>0</v>
      </c>
      <c r="E21" s="2">
        <f t="shared" si="1"/>
        <v>0</v>
      </c>
    </row>
    <row r="22" spans="1:5" x14ac:dyDescent="0.25">
      <c r="A22" s="38">
        <v>19</v>
      </c>
      <c r="B22" s="299"/>
      <c r="C22" s="300"/>
      <c r="D22" s="2">
        <f t="shared" si="0"/>
        <v>0</v>
      </c>
      <c r="E22" s="2">
        <f t="shared" si="1"/>
        <v>0</v>
      </c>
    </row>
    <row r="23" spans="1:5" x14ac:dyDescent="0.25">
      <c r="A23" s="38">
        <v>20</v>
      </c>
      <c r="B23" s="299"/>
      <c r="C23" s="300"/>
      <c r="D23" s="2">
        <f t="shared" si="0"/>
        <v>0</v>
      </c>
      <c r="E23" s="2">
        <f t="shared" si="1"/>
        <v>0</v>
      </c>
    </row>
    <row r="24" spans="1:5" x14ac:dyDescent="0.25">
      <c r="A24" s="38">
        <v>21</v>
      </c>
      <c r="B24" s="299"/>
      <c r="C24" s="300"/>
      <c r="D24" s="2">
        <f t="shared" si="0"/>
        <v>0</v>
      </c>
      <c r="E24" s="2">
        <f t="shared" si="1"/>
        <v>0</v>
      </c>
    </row>
    <row r="25" spans="1:5" x14ac:dyDescent="0.25">
      <c r="A25" s="38">
        <v>22</v>
      </c>
      <c r="B25" s="299"/>
      <c r="C25" s="300"/>
      <c r="D25" s="2">
        <f t="shared" si="0"/>
        <v>0</v>
      </c>
      <c r="E25" s="2">
        <f t="shared" si="1"/>
        <v>0</v>
      </c>
    </row>
    <row r="26" spans="1:5" x14ac:dyDescent="0.25">
      <c r="A26" s="38">
        <v>23</v>
      </c>
      <c r="B26" s="299"/>
      <c r="C26" s="300"/>
      <c r="D26" s="2">
        <f t="shared" si="0"/>
        <v>0</v>
      </c>
      <c r="E26" s="2">
        <f t="shared" si="1"/>
        <v>0</v>
      </c>
    </row>
    <row r="27" spans="1:5" x14ac:dyDescent="0.25">
      <c r="A27" s="38">
        <v>24</v>
      </c>
      <c r="B27" s="299"/>
      <c r="C27" s="300"/>
      <c r="D27" s="2">
        <f t="shared" si="0"/>
        <v>0</v>
      </c>
      <c r="E27" s="2">
        <f t="shared" si="1"/>
        <v>0</v>
      </c>
    </row>
    <row r="28" spans="1:5" x14ac:dyDescent="0.25">
      <c r="A28" s="38">
        <v>25</v>
      </c>
      <c r="B28" s="299"/>
      <c r="C28" s="300"/>
      <c r="D28" s="2">
        <f t="shared" si="0"/>
        <v>0</v>
      </c>
      <c r="E28" s="2">
        <f t="shared" si="1"/>
        <v>0</v>
      </c>
    </row>
  </sheetData>
  <printOptions gridLines="1" gridLinesSet="0"/>
  <pageMargins left="0.75" right="0.75" top="1" bottom="1" header="0.5" footer="0.5"/>
  <pageSetup scale="90" orientation="landscape" horizontalDpi="300" verticalDpi="300" r:id="rId1"/>
  <headerFooter alignWithMargins="0">
    <oddFooter>&amp;L&amp;A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36"/>
  <sheetViews>
    <sheetView workbookViewId="0">
      <selection activeCell="P25" sqref="P25"/>
    </sheetView>
  </sheetViews>
  <sheetFormatPr defaultColWidth="9.109375" defaultRowHeight="13.2" x14ac:dyDescent="0.25"/>
  <cols>
    <col min="1" max="5" width="10.33203125" style="20" bestFit="1" customWidth="1"/>
    <col min="6" max="6" width="9.109375" style="20"/>
    <col min="7" max="7" width="22.44140625" style="20" customWidth="1"/>
    <col min="8" max="8" width="9.88671875" style="20" customWidth="1"/>
    <col min="9" max="9" width="11.6640625" style="20" customWidth="1"/>
    <col min="10" max="11" width="10.5546875" style="20" customWidth="1"/>
    <col min="12" max="12" width="12.44140625" style="20" customWidth="1"/>
    <col min="13" max="14" width="0" style="20" hidden="1" customWidth="1"/>
    <col min="15" max="16384" width="9.109375" style="20"/>
  </cols>
  <sheetData>
    <row r="1" spans="1:24" s="119" customFormat="1" ht="21" x14ac:dyDescent="0.4">
      <c r="A1" s="18" t="s">
        <v>29</v>
      </c>
      <c r="B1" s="117"/>
      <c r="C1" s="118"/>
    </row>
    <row r="2" spans="1:24" ht="12.75" customHeight="1" x14ac:dyDescent="0.4">
      <c r="A2" s="120"/>
      <c r="B2" s="120"/>
      <c r="D2" s="121"/>
      <c r="E2" s="122"/>
      <c r="F2" s="122"/>
    </row>
    <row r="3" spans="1:24" ht="13.8" thickBot="1" x14ac:dyDescent="0.3">
      <c r="A3" s="123" t="s">
        <v>291</v>
      </c>
      <c r="B3" s="124" t="s">
        <v>292</v>
      </c>
      <c r="C3" s="124" t="s">
        <v>293</v>
      </c>
      <c r="D3" s="124"/>
      <c r="E3" s="125"/>
      <c r="G3" s="126" t="s">
        <v>30</v>
      </c>
      <c r="H3" s="127"/>
      <c r="M3" s="128">
        <f>AVERAGE(A4:E28)</f>
        <v>71.25</v>
      </c>
    </row>
    <row r="4" spans="1:24" x14ac:dyDescent="0.25">
      <c r="A4" s="129">
        <v>64</v>
      </c>
      <c r="B4" s="130">
        <v>74</v>
      </c>
      <c r="C4" s="130">
        <v>75</v>
      </c>
      <c r="D4" s="130"/>
      <c r="E4" s="131"/>
      <c r="G4" s="132" t="s">
        <v>31</v>
      </c>
      <c r="H4" s="133" t="s">
        <v>32</v>
      </c>
      <c r="I4" s="133" t="s">
        <v>33</v>
      </c>
      <c r="J4" s="133" t="s">
        <v>34</v>
      </c>
      <c r="K4" s="133" t="s">
        <v>35</v>
      </c>
    </row>
    <row r="5" spans="1:24" x14ac:dyDescent="0.25">
      <c r="A5" s="129">
        <v>68</v>
      </c>
      <c r="B5" s="130">
        <v>71</v>
      </c>
      <c r="C5" s="130">
        <v>80</v>
      </c>
      <c r="D5" s="130"/>
      <c r="E5" s="134"/>
      <c r="G5" s="135" t="str">
        <f>A3</f>
        <v>Southwyck</v>
      </c>
      <c r="H5" s="136">
        <f>COUNT(A4:A28)</f>
        <v>4</v>
      </c>
      <c r="I5" s="137">
        <f>SUM(A4:A28)</f>
        <v>262</v>
      </c>
      <c r="J5" s="137">
        <f>IF(H5&gt;0,I5/H5,"")</f>
        <v>65.5</v>
      </c>
      <c r="K5" s="137">
        <f>IF(H5&gt;0,VAR(A4:A28),"")</f>
        <v>19.666666666666668</v>
      </c>
      <c r="M5" s="20">
        <f>IF(H5&gt;0,H5*((J5-$M$3)^2),0)</f>
        <v>132.25</v>
      </c>
      <c r="N5" s="20">
        <f>IF(H5&gt;0,K5*(H5-1),0)</f>
        <v>59</v>
      </c>
      <c r="T5" s="138">
        <f>IF(H5&gt;0,(H5-1)*K5,0)</f>
        <v>59</v>
      </c>
      <c r="U5" s="138" t="str">
        <f>G5</f>
        <v>Southwyck</v>
      </c>
      <c r="V5" s="139">
        <f>$J5+$T$10*TINV($H$20,$I$14)/SQRT($H5)</f>
        <v>69.03179173843435</v>
      </c>
      <c r="W5" s="139">
        <f>$J5-$T$10*TINV($H$20,$I$14)/SQRT($H5)</f>
        <v>61.96820826156565</v>
      </c>
      <c r="X5" s="139">
        <f>J5</f>
        <v>65.5</v>
      </c>
    </row>
    <row r="6" spans="1:24" x14ac:dyDescent="0.25">
      <c r="A6" s="129">
        <v>70</v>
      </c>
      <c r="B6" s="130">
        <v>69</v>
      </c>
      <c r="C6" s="130">
        <v>76</v>
      </c>
      <c r="D6" s="130"/>
      <c r="E6" s="134"/>
      <c r="G6" s="135" t="str">
        <f>B3</f>
        <v>Franklin</v>
      </c>
      <c r="H6" s="136">
        <f>COUNT(B4:B28)</f>
        <v>4</v>
      </c>
      <c r="I6" s="137">
        <f>SUM(B4:B28)</f>
        <v>284</v>
      </c>
      <c r="J6" s="137">
        <f>IF(H6&gt;0,I6/H6,"")</f>
        <v>71</v>
      </c>
      <c r="K6" s="137">
        <f>IF(H6&gt;0,VAR(B4:B28),"")</f>
        <v>4.666666666666667</v>
      </c>
      <c r="M6" s="20">
        <f>IF(H6&gt;0,H6*((J6-$M$3)^2),0)</f>
        <v>0.25</v>
      </c>
      <c r="N6" s="20">
        <f>IF(H6&gt;0,K6*(H6-1),0)</f>
        <v>14</v>
      </c>
      <c r="T6" s="138">
        <f>IF(H6&gt;0,(H6-1)*K6,0)</f>
        <v>14</v>
      </c>
      <c r="U6" s="138" t="str">
        <f>G6</f>
        <v>Franklin</v>
      </c>
      <c r="V6" s="139">
        <f>$J6+$T$10*TINV($H$20,$I$14)/SQRT($H6)</f>
        <v>74.53179173843435</v>
      </c>
      <c r="W6" s="139">
        <f>$J6-$T$10*TINV($H$20,$I$14)/SQRT($H6)</f>
        <v>67.46820826156565</v>
      </c>
      <c r="X6" s="139">
        <f>J6</f>
        <v>71</v>
      </c>
    </row>
    <row r="7" spans="1:24" x14ac:dyDescent="0.25">
      <c r="A7" s="129">
        <v>60</v>
      </c>
      <c r="B7" s="130">
        <v>70</v>
      </c>
      <c r="C7" s="130">
        <v>78</v>
      </c>
      <c r="D7" s="130"/>
      <c r="E7" s="134"/>
      <c r="G7" s="135" t="str">
        <f>C3</f>
        <v>Orchard</v>
      </c>
      <c r="H7" s="136">
        <f>COUNT(C4:C28)</f>
        <v>4</v>
      </c>
      <c r="I7" s="137">
        <f>SUM(C4:C28)</f>
        <v>309</v>
      </c>
      <c r="J7" s="137">
        <f>IF(H7&gt;0,I7/H7,"")</f>
        <v>77.25</v>
      </c>
      <c r="K7" s="137">
        <f>IF(H7&gt;0,VAR(C4:C28),"")</f>
        <v>4.916666666666667</v>
      </c>
      <c r="L7" s="140"/>
      <c r="M7" s="20">
        <f>IF(H7&gt;0,H7*((J7-$M$3)^2),0)</f>
        <v>144</v>
      </c>
      <c r="N7" s="20">
        <f>IF(H7&gt;0,K7*(H7-1),0)</f>
        <v>14.75</v>
      </c>
      <c r="T7" s="138">
        <f>IF(H7&gt;0,(H7-1)*K7,0)</f>
        <v>14.75</v>
      </c>
      <c r="U7" s="138" t="str">
        <f>G7</f>
        <v>Orchard</v>
      </c>
      <c r="V7" s="139">
        <f>$J7+$T$10*TINV($H$20,$I$14)/SQRT($H7)</f>
        <v>80.78179173843435</v>
      </c>
      <c r="W7" s="139">
        <f>$J7-$T$10*TINV($H$20,$I$14)/SQRT($H7)</f>
        <v>73.71820826156565</v>
      </c>
      <c r="X7" s="139">
        <f>J7</f>
        <v>77.25</v>
      </c>
    </row>
    <row r="8" spans="1:24" x14ac:dyDescent="0.25">
      <c r="A8" s="141"/>
      <c r="B8" s="142"/>
      <c r="C8" s="142"/>
      <c r="D8" s="142"/>
      <c r="E8" s="134"/>
      <c r="G8" s="143">
        <f>D3</f>
        <v>0</v>
      </c>
      <c r="H8" s="126">
        <f>COUNT(D4:D28)</f>
        <v>0</v>
      </c>
      <c r="I8" s="144">
        <f>SUM(D4:D28)</f>
        <v>0</v>
      </c>
      <c r="J8" s="137" t="str">
        <f>IF(H8&gt;0,I8/H8,"")</f>
        <v/>
      </c>
      <c r="K8" s="137" t="str">
        <f>IF(H8&gt;0,VAR(D4:D28),"")</f>
        <v/>
      </c>
      <c r="M8" s="20">
        <f>IF(H8&gt;0,H8*((J8-$M$3)^2),0)</f>
        <v>0</v>
      </c>
      <c r="N8" s="20">
        <f>IF(H8&gt;0,K8*(H8-1),0)</f>
        <v>0</v>
      </c>
      <c r="T8" s="138">
        <f>IF(H8&gt;0,(H8-1)*K8,0)</f>
        <v>0</v>
      </c>
      <c r="U8" s="138">
        <f>G8</f>
        <v>0</v>
      </c>
      <c r="V8" s="139" t="e">
        <f>$J8+$T$10*TINV($H$20,$I$14)/SQRT($H8)</f>
        <v>#VALUE!</v>
      </c>
      <c r="W8" s="139" t="e">
        <f>$J8-$T$10*TINV($H$20,$I$14)/SQRT($H8)</f>
        <v>#VALUE!</v>
      </c>
      <c r="X8" s="139" t="str">
        <f>J8</f>
        <v/>
      </c>
    </row>
    <row r="9" spans="1:24" ht="13.8" thickBot="1" x14ac:dyDescent="0.3">
      <c r="A9" s="129"/>
      <c r="B9" s="130"/>
      <c r="C9" s="130"/>
      <c r="D9" s="130"/>
      <c r="E9" s="134"/>
      <c r="G9" s="145">
        <f>E3</f>
        <v>0</v>
      </c>
      <c r="H9" s="146">
        <f>COUNT(E4:E28)</f>
        <v>0</v>
      </c>
      <c r="I9" s="147">
        <f>SUM(E4:E28)</f>
        <v>0</v>
      </c>
      <c r="J9" s="147" t="str">
        <f>IF(H9&gt;0,I9/H9,"")</f>
        <v/>
      </c>
      <c r="K9" s="147" t="str">
        <f>IF(H9&gt;0,VAR(E4:E28),"")</f>
        <v/>
      </c>
      <c r="M9" s="20">
        <f>IF(H9&gt;0,H9*((J9-$M$3)^2),0)</f>
        <v>0</v>
      </c>
      <c r="N9" s="20">
        <f>IF(H9&gt;0,K9*(H9-1),0)</f>
        <v>0</v>
      </c>
      <c r="T9" s="138">
        <f>IF(H9&gt;0,(H9-1)*K9,0)</f>
        <v>0</v>
      </c>
      <c r="U9" s="138">
        <f>G9</f>
        <v>0</v>
      </c>
      <c r="V9" s="139" t="e">
        <f>J9+$T$10*TINV($H$20,H9-1)/SQRT($I$16+1)</f>
        <v>#VALUE!</v>
      </c>
      <c r="W9" s="139" t="e">
        <f>J9-$T$10*TINV($H$20,H9-1)/SQRT($I$16+1)</f>
        <v>#VALUE!</v>
      </c>
      <c r="X9" s="139" t="str">
        <f>J9</f>
        <v/>
      </c>
    </row>
    <row r="10" spans="1:24" x14ac:dyDescent="0.25">
      <c r="A10" s="129"/>
      <c r="B10" s="130"/>
      <c r="C10" s="130"/>
      <c r="D10" s="130"/>
      <c r="E10" s="134"/>
      <c r="T10" s="138">
        <f>SQRT(SUM(T5:T9)/I14)</f>
        <v>3.1224989991991992</v>
      </c>
      <c r="U10" s="148"/>
      <c r="V10" s="148"/>
      <c r="W10" s="148"/>
      <c r="X10" s="148"/>
    </row>
    <row r="11" spans="1:24" ht="13.8" thickBot="1" x14ac:dyDescent="0.3">
      <c r="A11" s="129"/>
      <c r="B11" s="130"/>
      <c r="C11" s="130"/>
      <c r="D11" s="130"/>
      <c r="E11" s="131"/>
      <c r="G11" s="126" t="s">
        <v>36</v>
      </c>
      <c r="H11" s="127"/>
      <c r="I11" s="127"/>
      <c r="J11" s="127"/>
      <c r="K11" s="127"/>
      <c r="L11" s="127"/>
    </row>
    <row r="12" spans="1:24" x14ac:dyDescent="0.25">
      <c r="A12" s="129"/>
      <c r="B12" s="130"/>
      <c r="C12" s="130"/>
      <c r="D12" s="130"/>
      <c r="E12" s="134"/>
      <c r="G12" s="132" t="s">
        <v>37</v>
      </c>
      <c r="H12" s="133" t="s">
        <v>38</v>
      </c>
      <c r="I12" s="133" t="s">
        <v>39</v>
      </c>
      <c r="J12" s="133" t="s">
        <v>40</v>
      </c>
      <c r="K12" s="133" t="s">
        <v>41</v>
      </c>
      <c r="L12" s="133" t="s">
        <v>42</v>
      </c>
    </row>
    <row r="13" spans="1:24" x14ac:dyDescent="0.25">
      <c r="A13" s="141"/>
      <c r="B13" s="142"/>
      <c r="C13" s="142"/>
      <c r="D13" s="142"/>
      <c r="E13" s="134"/>
      <c r="G13" s="149" t="s">
        <v>43</v>
      </c>
      <c r="H13" s="137">
        <f>SUM(M5:M9)</f>
        <v>276.5</v>
      </c>
      <c r="I13" s="136">
        <f>COUNTIF(H5:H9,"&gt;0")-1</f>
        <v>2</v>
      </c>
      <c r="J13" s="137">
        <f>H13/I13</f>
        <v>138.25</v>
      </c>
      <c r="K13" s="137">
        <f>J13/J14</f>
        <v>14.179487179487179</v>
      </c>
      <c r="L13" s="144">
        <f>FINV(H20,I13,I14)</f>
        <v>4.2564947290937507</v>
      </c>
    </row>
    <row r="14" spans="1:24" x14ac:dyDescent="0.25">
      <c r="A14" s="129"/>
      <c r="B14" s="130"/>
      <c r="C14" s="130"/>
      <c r="D14" s="130"/>
      <c r="E14" s="150"/>
      <c r="G14" s="149" t="s">
        <v>44</v>
      </c>
      <c r="H14" s="137">
        <f>SUM(N5:N9)</f>
        <v>87.75</v>
      </c>
      <c r="I14" s="136">
        <f>I16-I13</f>
        <v>9</v>
      </c>
      <c r="J14" s="137">
        <f>H14/I14</f>
        <v>9.75</v>
      </c>
      <c r="K14" s="137"/>
      <c r="L14" s="137"/>
    </row>
    <row r="15" spans="1:24" x14ac:dyDescent="0.25">
      <c r="A15" s="129"/>
      <c r="B15" s="130"/>
      <c r="C15" s="130"/>
      <c r="D15" s="130"/>
      <c r="E15" s="150"/>
      <c r="G15" s="149"/>
      <c r="H15" s="137"/>
      <c r="I15" s="136"/>
      <c r="J15" s="136"/>
      <c r="K15" s="136"/>
      <c r="L15" s="136"/>
    </row>
    <row r="16" spans="1:24" ht="13.8" thickBot="1" x14ac:dyDescent="0.3">
      <c r="A16" s="129"/>
      <c r="B16" s="130"/>
      <c r="C16" s="130"/>
      <c r="D16" s="130"/>
      <c r="E16" s="150"/>
      <c r="G16" s="151" t="s">
        <v>45</v>
      </c>
      <c r="H16" s="147">
        <f>H13+H14</f>
        <v>364.25</v>
      </c>
      <c r="I16" s="146">
        <f>SUM(H5:H9)-1</f>
        <v>11</v>
      </c>
      <c r="J16" s="146"/>
      <c r="K16" s="146"/>
      <c r="L16" s="146"/>
    </row>
    <row r="17" spans="1:20" ht="13.8" thickBot="1" x14ac:dyDescent="0.3">
      <c r="A17" s="129"/>
      <c r="B17" s="130"/>
      <c r="C17" s="130"/>
      <c r="D17" s="130"/>
      <c r="E17" s="150"/>
    </row>
    <row r="18" spans="1:20" x14ac:dyDescent="0.25">
      <c r="A18" s="141"/>
      <c r="B18" s="142"/>
      <c r="C18" s="142"/>
      <c r="D18" s="130"/>
      <c r="E18" s="150"/>
      <c r="G18" s="152" t="s">
        <v>46</v>
      </c>
      <c r="H18" s="153" t="str">
        <f>IF(I13=4,"m1 = m2 = m3 = m4 = m5",IF(I13=3,"m1 = m2 = m3 = m4","m1 = m2 = m3"))</f>
        <v>m1 = m2 = m3</v>
      </c>
      <c r="I18" s="154"/>
      <c r="J18" s="154"/>
      <c r="K18" s="155"/>
      <c r="L18" s="156"/>
    </row>
    <row r="19" spans="1:20" x14ac:dyDescent="0.25">
      <c r="A19" s="129"/>
      <c r="B19" s="130"/>
      <c r="C19" s="130"/>
      <c r="D19" s="130"/>
      <c r="E19" s="150"/>
      <c r="G19" s="157" t="s">
        <v>47</v>
      </c>
      <c r="H19" s="158" t="s">
        <v>48</v>
      </c>
      <c r="I19" s="158"/>
      <c r="J19" s="158"/>
      <c r="K19" s="22"/>
      <c r="L19" s="159"/>
      <c r="P19" s="236" t="s">
        <v>60</v>
      </c>
      <c r="Q19" s="236"/>
      <c r="R19" s="236"/>
      <c r="S19" s="236"/>
      <c r="T19" s="236"/>
    </row>
    <row r="20" spans="1:20" x14ac:dyDescent="0.25">
      <c r="A20" s="129"/>
      <c r="B20" s="130"/>
      <c r="C20" s="130"/>
      <c r="D20" s="130"/>
      <c r="E20" s="150"/>
      <c r="G20" s="157" t="s">
        <v>49</v>
      </c>
      <c r="H20" s="160">
        <v>0.05</v>
      </c>
      <c r="I20" s="22"/>
      <c r="J20" s="22"/>
      <c r="K20" s="22"/>
      <c r="L20" s="159"/>
      <c r="P20" s="236" t="s">
        <v>294</v>
      </c>
      <c r="Q20" s="236"/>
      <c r="R20" s="236"/>
      <c r="S20" s="236"/>
      <c r="T20" s="236"/>
    </row>
    <row r="21" spans="1:20" x14ac:dyDescent="0.25">
      <c r="A21" s="129"/>
      <c r="B21" s="130"/>
      <c r="C21" s="130"/>
      <c r="D21" s="130"/>
      <c r="E21" s="150"/>
      <c r="G21" s="157" t="s">
        <v>50</v>
      </c>
      <c r="H21" s="161">
        <f>FDIST(K13,I13,I14)</f>
        <v>1.6531567744185612E-3</v>
      </c>
      <c r="I21" s="22"/>
      <c r="J21" s="22"/>
      <c r="K21" s="22"/>
      <c r="L21" s="159"/>
      <c r="P21" s="236"/>
      <c r="Q21" s="236"/>
      <c r="R21" s="236"/>
      <c r="S21" s="236"/>
      <c r="T21" s="236"/>
    </row>
    <row r="22" spans="1:20" ht="13.8" thickBot="1" x14ac:dyDescent="0.3">
      <c r="A22" s="129"/>
      <c r="B22" s="130"/>
      <c r="C22" s="130"/>
      <c r="D22" s="130"/>
      <c r="E22" s="150"/>
      <c r="G22" s="162" t="s">
        <v>51</v>
      </c>
      <c r="H22" s="163" t="str">
        <f>IF(K13&gt;L13,"Reject the null hypothesis","Do not reject the null hypothesis")</f>
        <v>Reject the null hypothesis</v>
      </c>
      <c r="I22" s="164"/>
      <c r="J22" s="164"/>
      <c r="K22" s="164"/>
      <c r="L22" s="165"/>
      <c r="P22" s="236" t="s">
        <v>295</v>
      </c>
      <c r="Q22" s="236"/>
      <c r="R22" s="236"/>
      <c r="S22" s="236"/>
      <c r="T22" s="236"/>
    </row>
    <row r="23" spans="1:20" ht="13.8" thickBot="1" x14ac:dyDescent="0.3">
      <c r="A23" s="129"/>
      <c r="B23" s="142"/>
      <c r="C23" s="130"/>
      <c r="D23" s="130"/>
      <c r="E23" s="150"/>
      <c r="P23" s="236" t="s">
        <v>296</v>
      </c>
      <c r="Q23" s="236"/>
      <c r="R23" s="236"/>
      <c r="S23" s="236"/>
      <c r="T23" s="236"/>
    </row>
    <row r="24" spans="1:20" x14ac:dyDescent="0.25">
      <c r="A24" s="129"/>
      <c r="B24" s="130"/>
      <c r="C24" s="130"/>
      <c r="D24" s="130"/>
      <c r="E24" s="150"/>
      <c r="G24" s="166" t="s">
        <v>52</v>
      </c>
      <c r="H24" s="167"/>
      <c r="I24" s="168"/>
      <c r="J24" s="155"/>
      <c r="K24" s="155"/>
      <c r="L24" s="156"/>
    </row>
    <row r="25" spans="1:20" x14ac:dyDescent="0.25">
      <c r="A25" s="141"/>
      <c r="B25" s="130"/>
      <c r="C25" s="130"/>
      <c r="D25" s="130"/>
      <c r="E25" s="150"/>
      <c r="G25" s="169"/>
      <c r="H25" s="170" t="s">
        <v>53</v>
      </c>
      <c r="I25" s="170" t="s">
        <v>19</v>
      </c>
      <c r="J25" s="170" t="s">
        <v>20</v>
      </c>
      <c r="K25" s="269" t="s">
        <v>54</v>
      </c>
      <c r="L25" s="270"/>
    </row>
    <row r="26" spans="1:20" x14ac:dyDescent="0.25">
      <c r="A26" s="129"/>
      <c r="B26" s="130"/>
      <c r="C26" s="130"/>
      <c r="D26" s="130"/>
      <c r="E26" s="150"/>
      <c r="G26" s="171" t="s">
        <v>55</v>
      </c>
      <c r="H26" s="172" t="s">
        <v>56</v>
      </c>
      <c r="I26" s="172" t="s">
        <v>57</v>
      </c>
      <c r="J26" s="172" t="s">
        <v>57</v>
      </c>
      <c r="K26" s="271" t="s">
        <v>58</v>
      </c>
      <c r="L26" s="272"/>
    </row>
    <row r="27" spans="1:20" x14ac:dyDescent="0.25">
      <c r="A27" s="129"/>
      <c r="B27" s="130"/>
      <c r="C27" s="130"/>
      <c r="D27" s="130"/>
      <c r="E27" s="150"/>
      <c r="G27" s="173" t="str">
        <f>CONCATENATE(G5," to ",G6)</f>
        <v>Southwyck to Franklin</v>
      </c>
      <c r="H27" s="174">
        <f>ABS($J$5-$J$6)</f>
        <v>5.5</v>
      </c>
      <c r="I27" s="174">
        <f>$H27-TINV($H$20,$I$14)*SQRT(($J$14)*((1/$H$5)+(1/$H$6)))</f>
        <v>0.50529222402889395</v>
      </c>
      <c r="J27" s="174">
        <f>$H27+TINV($H$20,$I$14)*SQRT(($J$14)*((1/$H$5)+(1/$H$6)))</f>
        <v>10.494707775971106</v>
      </c>
      <c r="K27" s="158" t="str">
        <f>IF(I27*J27&gt;0,"***Means are different***","    - no difference -")</f>
        <v>***Means are different***</v>
      </c>
      <c r="L27" s="175"/>
    </row>
    <row r="28" spans="1:20" x14ac:dyDescent="0.25">
      <c r="A28" s="129"/>
      <c r="B28" s="130"/>
      <c r="C28" s="130"/>
      <c r="D28" s="130"/>
      <c r="E28" s="150"/>
      <c r="G28" s="173" t="str">
        <f>CONCATENATE(G5," to ",G7)</f>
        <v>Southwyck to Orchard</v>
      </c>
      <c r="H28" s="174">
        <f>ABS($J$5-$J$7)</f>
        <v>11.75</v>
      </c>
      <c r="I28" s="174">
        <f>$H28-TINV($H$20,$I$14)*SQRT(($J$14)*((1/$H$5)+(1/$H$7)))</f>
        <v>6.755292224028894</v>
      </c>
      <c r="J28" s="174">
        <f>$H28+TINV($H$20,$I$14)*SQRT(($J$14)*((1/$H$5)+(1/$H$7)))</f>
        <v>16.744707775971108</v>
      </c>
      <c r="K28" s="158" t="str">
        <f t="shared" ref="K28:K36" si="0">IF(I28*J28&gt;0,"***Means are different***","    - no difference -")</f>
        <v>***Means are different***</v>
      </c>
      <c r="L28" s="175"/>
    </row>
    <row r="29" spans="1:20" x14ac:dyDescent="0.25">
      <c r="G29" s="173" t="str">
        <f>CONCATENATE(G6," to ",G7)</f>
        <v>Franklin to Orchard</v>
      </c>
      <c r="H29" s="174">
        <f>ABS($J$6-$J$7)</f>
        <v>6.25</v>
      </c>
      <c r="I29" s="174">
        <f>$H29-TINV($H$20,$I$14)*SQRT(($J$14)*((1/$H$6)+(1/$H$7)))</f>
        <v>1.255292224028894</v>
      </c>
      <c r="J29" s="174">
        <f>$H29+TINV($H$20,$I$14)*SQRT(($J$14)*((1/$H$6)+(1/$H$7)))</f>
        <v>11.244707775971106</v>
      </c>
      <c r="K29" s="158" t="str">
        <f t="shared" si="0"/>
        <v>***Means are different***</v>
      </c>
      <c r="L29" s="175"/>
    </row>
    <row r="30" spans="1:20" ht="13.8" thickBot="1" x14ac:dyDescent="0.3">
      <c r="G30" s="173" t="str">
        <f>CONCATENATE(G5," to ",G8)</f>
        <v>Southwyck to 0</v>
      </c>
      <c r="H30" s="174" t="e">
        <f>ABS($J$5-$J$8)</f>
        <v>#VALUE!</v>
      </c>
      <c r="I30" s="174" t="e">
        <f>$H30-TINV($H$20,$I$14)*SQRT(($J$14)*((1/$H$5)+(1/$H$8)))</f>
        <v>#VALUE!</v>
      </c>
      <c r="J30" s="174" t="e">
        <f>$H30+TINV($H$20,$I$14)*SQRT(($J$14)*((1/$H$5)+(1/$H$8)))</f>
        <v>#VALUE!</v>
      </c>
      <c r="K30" s="158" t="e">
        <f t="shared" si="0"/>
        <v>#VALUE!</v>
      </c>
      <c r="L30" s="175"/>
    </row>
    <row r="31" spans="1:20" ht="13.8" thickBot="1" x14ac:dyDescent="0.3">
      <c r="B31" s="176" t="s">
        <v>59</v>
      </c>
      <c r="C31" s="177"/>
      <c r="D31" s="178"/>
      <c r="G31" s="173" t="str">
        <f>CONCATENATE(G6," to ",G8)</f>
        <v>Franklin to 0</v>
      </c>
      <c r="H31" s="174" t="e">
        <f>ABS($J$6-$J$8)</f>
        <v>#VALUE!</v>
      </c>
      <c r="I31" s="174" t="e">
        <f>$H31-TINV($H$20,$I$14)*SQRT(($J$14)*((1/$H$6)+(1/$H$8)))</f>
        <v>#VALUE!</v>
      </c>
      <c r="J31" s="174" t="e">
        <f>$H31+TINV($H$20,$I$14)*SQRT(($J$14)*((1/$H$6)+(1/$H$8)))</f>
        <v>#VALUE!</v>
      </c>
      <c r="K31" s="158" t="e">
        <f t="shared" si="0"/>
        <v>#VALUE!</v>
      </c>
      <c r="L31" s="175"/>
    </row>
    <row r="32" spans="1:20" x14ac:dyDescent="0.25">
      <c r="G32" s="173" t="str">
        <f>CONCATENATE(G7," to ",G8)</f>
        <v>Orchard to 0</v>
      </c>
      <c r="H32" s="174" t="e">
        <f>ABS($J$7-$J$8)</f>
        <v>#VALUE!</v>
      </c>
      <c r="I32" s="174" t="e">
        <f>$H32-TINV($H$20,$I$14)*SQRT(($J$14)*((1/$H$7)+(1/$H$8)))</f>
        <v>#VALUE!</v>
      </c>
      <c r="J32" s="174" t="e">
        <f>$H32+TINV($H$20,$I$14)*SQRT(($J$14)*((1/$H$7)+(1/$H$8)))</f>
        <v>#VALUE!</v>
      </c>
      <c r="K32" s="158" t="e">
        <f t="shared" si="0"/>
        <v>#VALUE!</v>
      </c>
      <c r="L32" s="175"/>
    </row>
    <row r="33" spans="7:12" x14ac:dyDescent="0.25">
      <c r="G33" s="173" t="str">
        <f>CONCATENATE(G5," to ",G9)</f>
        <v>Southwyck to 0</v>
      </c>
      <c r="H33" s="174" t="e">
        <f>ABS($J$5-$J$9)</f>
        <v>#VALUE!</v>
      </c>
      <c r="I33" s="174" t="e">
        <f>$H33-TINV($H$20,$I$14)*SQRT(($J$14)*((1/$H$5)+(1/$H$9)))</f>
        <v>#VALUE!</v>
      </c>
      <c r="J33" s="174" t="e">
        <f>$H33+TINV($H$20,$I$14)*SQRT(($J$14)*((1/$H$5)+(1/$H$9)))</f>
        <v>#VALUE!</v>
      </c>
      <c r="K33" s="158" t="e">
        <f t="shared" si="0"/>
        <v>#VALUE!</v>
      </c>
      <c r="L33" s="175"/>
    </row>
    <row r="34" spans="7:12" x14ac:dyDescent="0.25">
      <c r="G34" s="173" t="str">
        <f>CONCATENATE(G6," to ",G9)</f>
        <v>Franklin to 0</v>
      </c>
      <c r="H34" s="174" t="e">
        <f>ABS($J$6-$J$9)</f>
        <v>#VALUE!</v>
      </c>
      <c r="I34" s="174" t="e">
        <f>$H34-TINV($H$20,$I$14)*SQRT(($J$14)*((1/$H$6)+(1/$H$9)))</f>
        <v>#VALUE!</v>
      </c>
      <c r="J34" s="174" t="e">
        <f>$H34+TINV($H$20,$I$14)*SQRT(($J$14)*((1/$H$6)+(1/$H$9)))</f>
        <v>#VALUE!</v>
      </c>
      <c r="K34" s="158" t="e">
        <f t="shared" si="0"/>
        <v>#VALUE!</v>
      </c>
      <c r="L34" s="175"/>
    </row>
    <row r="35" spans="7:12" x14ac:dyDescent="0.25">
      <c r="G35" s="173" t="str">
        <f>CONCATENATE(G7," to ",G9)</f>
        <v>Orchard to 0</v>
      </c>
      <c r="H35" s="174" t="e">
        <f>ABS($J$7-$J$9)</f>
        <v>#VALUE!</v>
      </c>
      <c r="I35" s="174" t="e">
        <f>$H35-TINV($H$20,$I$14)*SQRT(($J$14)*((1/$H$7)+(1/$H$9)))</f>
        <v>#VALUE!</v>
      </c>
      <c r="J35" s="174" t="e">
        <f>$H35+TINV($H$20,$I$14)*SQRT(($J$14)*((1/$H$7)+(1/$H$9)))</f>
        <v>#VALUE!</v>
      </c>
      <c r="K35" s="158" t="e">
        <f t="shared" si="0"/>
        <v>#VALUE!</v>
      </c>
      <c r="L35" s="175"/>
    </row>
    <row r="36" spans="7:12" ht="13.8" thickBot="1" x14ac:dyDescent="0.3">
      <c r="G36" s="179" t="str">
        <f>CONCATENATE(G8," to ",G9)</f>
        <v>0 to 0</v>
      </c>
      <c r="H36" s="180" t="e">
        <f>ABS($J$8-$J$9)</f>
        <v>#VALUE!</v>
      </c>
      <c r="I36" s="180" t="e">
        <f>$H36-TINV($H$20,$I$14)*SQRT(($J$14)*((1/$H$8)+(1/$H$9)))</f>
        <v>#VALUE!</v>
      </c>
      <c r="J36" s="180" t="e">
        <f>$H36+TINV($H$20,$I$14)*SQRT(($J$14)*((1/$H$8)+(1/$H$9)))</f>
        <v>#VALUE!</v>
      </c>
      <c r="K36" s="181" t="e">
        <f t="shared" si="0"/>
        <v>#VALUE!</v>
      </c>
      <c r="L36" s="182"/>
    </row>
  </sheetData>
  <sheetProtection password="87CD" sheet="1" formatCells="0" formatColumns="0" formatRows="0" insertColumns="0" insertRows="0" insertHyperlinks="0" deleteColumns="0" deleteRows="0" sort="0" autoFilter="0" pivotTables="0"/>
  <mergeCells count="2">
    <mergeCell ref="K25:L25"/>
    <mergeCell ref="K26:L26"/>
  </mergeCells>
  <dataValidations count="1">
    <dataValidation type="decimal" allowBlank="1" showInputMessage="1" showErrorMessage="1" sqref="H20" xr:uid="{00000000-0002-0000-1300-000000000000}">
      <formula1>0</formula1>
      <formula2>1</formula2>
    </dataValidation>
  </dataValidations>
  <pageMargins left="0.75" right="0.75" top="1" bottom="1" header="0.5" footer="0.5"/>
  <pageSetup scale="84" orientation="landscape" horizontalDpi="4294967292" verticalDpi="300" r:id="rId1"/>
  <headerFooter alignWithMargins="0">
    <oddHeader>&amp;C&amp;A</oddHead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36"/>
  <sheetViews>
    <sheetView workbookViewId="0">
      <selection activeCell="P13" sqref="P13"/>
    </sheetView>
  </sheetViews>
  <sheetFormatPr defaultColWidth="9.109375" defaultRowHeight="13.2" x14ac:dyDescent="0.25"/>
  <cols>
    <col min="1" max="5" width="10.33203125" style="2" bestFit="1" customWidth="1"/>
    <col min="6" max="6" width="9.109375" style="2"/>
    <col min="7" max="7" width="22.44140625" style="2" customWidth="1"/>
    <col min="8" max="8" width="9.88671875" style="2" customWidth="1"/>
    <col min="9" max="9" width="11.6640625" style="2" customWidth="1"/>
    <col min="10" max="11" width="10.5546875" style="2" customWidth="1"/>
    <col min="12" max="12" width="12.44140625" style="2" customWidth="1"/>
    <col min="13" max="14" width="0" style="2" hidden="1" customWidth="1"/>
    <col min="15" max="16384" width="9.109375" style="2"/>
  </cols>
  <sheetData>
    <row r="1" spans="1:24" s="25" customFormat="1" ht="21" x14ac:dyDescent="0.4">
      <c r="A1" s="4" t="s">
        <v>29</v>
      </c>
      <c r="B1" s="24"/>
      <c r="C1" s="23"/>
    </row>
    <row r="2" spans="1:24" ht="12.75" customHeight="1" x14ac:dyDescent="0.4">
      <c r="A2" s="58"/>
      <c r="B2" s="58"/>
      <c r="D2" s="26"/>
      <c r="E2" s="27"/>
      <c r="F2" s="27"/>
    </row>
    <row r="3" spans="1:24" ht="13.8" thickBot="1" x14ac:dyDescent="0.3">
      <c r="A3" s="59" t="s">
        <v>285</v>
      </c>
      <c r="B3" s="60" t="s">
        <v>286</v>
      </c>
      <c r="C3" s="60" t="s">
        <v>287</v>
      </c>
      <c r="D3" s="60"/>
      <c r="E3" s="61"/>
      <c r="G3" s="62" t="s">
        <v>30</v>
      </c>
      <c r="H3" s="63"/>
      <c r="M3" s="64">
        <f>AVERAGE(A4:E28)</f>
        <v>9.0666666666666664</v>
      </c>
    </row>
    <row r="4" spans="1:24" x14ac:dyDescent="0.25">
      <c r="A4" s="65">
        <v>12</v>
      </c>
      <c r="B4" s="66">
        <v>8</v>
      </c>
      <c r="C4" s="66">
        <v>10</v>
      </c>
      <c r="D4" s="66"/>
      <c r="E4" s="67"/>
      <c r="G4" s="68" t="s">
        <v>31</v>
      </c>
      <c r="H4" s="69" t="s">
        <v>32</v>
      </c>
      <c r="I4" s="69" t="s">
        <v>33</v>
      </c>
      <c r="J4" s="69" t="s">
        <v>34</v>
      </c>
      <c r="K4" s="69" t="s">
        <v>35</v>
      </c>
    </row>
    <row r="5" spans="1:24" x14ac:dyDescent="0.25">
      <c r="A5" s="65">
        <v>10</v>
      </c>
      <c r="B5" s="66">
        <v>8</v>
      </c>
      <c r="C5" s="66">
        <v>8</v>
      </c>
      <c r="D5" s="66"/>
      <c r="E5" s="70"/>
      <c r="G5" s="71" t="str">
        <f>A3</f>
        <v>Banking</v>
      </c>
      <c r="H5" s="72">
        <f>COUNT(A4:A28)</f>
        <v>5</v>
      </c>
      <c r="I5" s="73">
        <f>SUM(A4:A28)</f>
        <v>54</v>
      </c>
      <c r="J5" s="73">
        <f>IF(H5&gt;0,I5/H5,"")</f>
        <v>10.8</v>
      </c>
      <c r="K5" s="73">
        <f>IF(H5&gt;0,VAR(A4:A28),"")</f>
        <v>1.2000000000000002</v>
      </c>
      <c r="M5" s="2">
        <f>IF(H5&gt;0,H5*((J5-$M$3)^2),0)</f>
        <v>15.02222222222224</v>
      </c>
      <c r="N5" s="2">
        <f>IF(H5&gt;0,K5*(H5-1),0)</f>
        <v>4.8000000000000007</v>
      </c>
      <c r="T5" s="74">
        <f>IF(H5&gt;0,(H5-1)*K5,0)</f>
        <v>4.8000000000000007</v>
      </c>
      <c r="U5" s="74" t="str">
        <f>G5</f>
        <v>Banking</v>
      </c>
      <c r="V5" s="75">
        <f>$J5+$T$10*TINV($H$20,$I$14)/SQRT($H5)</f>
        <v>12.178002227388987</v>
      </c>
      <c r="W5" s="75">
        <f>$J5-$T$10*TINV($H$20,$I$14)/SQRT($H5)</f>
        <v>9.4219977726110145</v>
      </c>
      <c r="X5" s="75">
        <f>J5</f>
        <v>10.8</v>
      </c>
    </row>
    <row r="6" spans="1:24" x14ac:dyDescent="0.25">
      <c r="A6" s="65">
        <v>10</v>
      </c>
      <c r="B6" s="66">
        <v>6</v>
      </c>
      <c r="C6" s="66">
        <v>6</v>
      </c>
      <c r="D6" s="66"/>
      <c r="E6" s="70"/>
      <c r="G6" s="71" t="str">
        <f>B3</f>
        <v>Retail</v>
      </c>
      <c r="H6" s="72">
        <f>COUNT(B4:B28)</f>
        <v>5</v>
      </c>
      <c r="I6" s="73">
        <f>SUM(B4:B28)</f>
        <v>40</v>
      </c>
      <c r="J6" s="73">
        <f>IF(H6&gt;0,I6/H6,"")</f>
        <v>8</v>
      </c>
      <c r="K6" s="73">
        <f>IF(H6&gt;0,VAR(B4:B28),"")</f>
        <v>2</v>
      </c>
      <c r="M6" s="2">
        <f>IF(H6&gt;0,H6*((J6-$M$3)^2),0)</f>
        <v>5.6888888888888864</v>
      </c>
      <c r="N6" s="2">
        <f>IF(H6&gt;0,K6*(H6-1),0)</f>
        <v>8</v>
      </c>
      <c r="T6" s="74">
        <f>IF(H6&gt;0,(H6-1)*K6,0)</f>
        <v>8</v>
      </c>
      <c r="U6" s="74" t="str">
        <f>G6</f>
        <v>Retail</v>
      </c>
      <c r="V6" s="75">
        <f>$J6+$T$10*TINV($H$20,$I$14)/SQRT($H6)</f>
        <v>9.3780022273889863</v>
      </c>
      <c r="W6" s="75">
        <f>$J6-$T$10*TINV($H$20,$I$14)/SQRT($H6)</f>
        <v>6.6219977726110146</v>
      </c>
      <c r="X6" s="75">
        <f>J6</f>
        <v>8</v>
      </c>
    </row>
    <row r="7" spans="1:24" x14ac:dyDescent="0.25">
      <c r="A7" s="65">
        <v>12</v>
      </c>
      <c r="B7" s="66">
        <v>8</v>
      </c>
      <c r="C7" s="66">
        <v>8</v>
      </c>
      <c r="D7" s="66"/>
      <c r="E7" s="70"/>
      <c r="G7" s="71" t="str">
        <f>C3</f>
        <v>Insurance</v>
      </c>
      <c r="H7" s="72">
        <f>COUNT(C4:C28)</f>
        <v>5</v>
      </c>
      <c r="I7" s="73">
        <f>SUM(C4:C28)</f>
        <v>42</v>
      </c>
      <c r="J7" s="73">
        <f>IF(H7&gt;0,I7/H7,"")</f>
        <v>8.4</v>
      </c>
      <c r="K7" s="73">
        <f>IF(H7&gt;0,VAR(C4:C28),"")</f>
        <v>2.7999999999999972</v>
      </c>
      <c r="L7" s="76"/>
      <c r="M7" s="2">
        <f>IF(H7&gt;0,H7*((J7-$M$3)^2),0)</f>
        <v>2.2222222222222183</v>
      </c>
      <c r="N7" s="2">
        <f>IF(H7&gt;0,K7*(H7-1),0)</f>
        <v>11.199999999999989</v>
      </c>
      <c r="T7" s="74">
        <f>IF(H7&gt;0,(H7-1)*K7,0)</f>
        <v>11.199999999999989</v>
      </c>
      <c r="U7" s="74" t="str">
        <f>G7</f>
        <v>Insurance</v>
      </c>
      <c r="V7" s="75">
        <f>$J7+$T$10*TINV($H$20,$I$14)/SQRT($H7)</f>
        <v>9.7780022273889848</v>
      </c>
      <c r="W7" s="75">
        <f>$J7-$T$10*TINV($H$20,$I$14)/SQRT($H7)</f>
        <v>7.021997772611015</v>
      </c>
      <c r="X7" s="75">
        <f>J7</f>
        <v>8.4</v>
      </c>
    </row>
    <row r="8" spans="1:24" x14ac:dyDescent="0.25">
      <c r="A8" s="77">
        <v>10</v>
      </c>
      <c r="B8" s="78">
        <v>10</v>
      </c>
      <c r="C8" s="78">
        <v>10</v>
      </c>
      <c r="D8" s="78"/>
      <c r="E8" s="70"/>
      <c r="G8" s="79">
        <f>D3</f>
        <v>0</v>
      </c>
      <c r="H8" s="62">
        <f>COUNT(D4:D28)</f>
        <v>0</v>
      </c>
      <c r="I8" s="80">
        <f>SUM(D4:D28)</f>
        <v>0</v>
      </c>
      <c r="J8" s="73" t="str">
        <f>IF(H8&gt;0,I8/H8,"")</f>
        <v/>
      </c>
      <c r="K8" s="73" t="str">
        <f>IF(H8&gt;0,VAR(D4:D28),"")</f>
        <v/>
      </c>
      <c r="M8" s="2">
        <f>IF(H8&gt;0,H8*((J8-$M$3)^2),0)</f>
        <v>0</v>
      </c>
      <c r="N8" s="2">
        <f>IF(H8&gt;0,K8*(H8-1),0)</f>
        <v>0</v>
      </c>
      <c r="T8" s="74">
        <f>IF(H8&gt;0,(H8-1)*K8,0)</f>
        <v>0</v>
      </c>
      <c r="U8" s="74">
        <f>G8</f>
        <v>0</v>
      </c>
      <c r="V8" s="75" t="e">
        <f>$J8+$T$10*TINV($H$20,$I$14)/SQRT($H8)</f>
        <v>#VALUE!</v>
      </c>
      <c r="W8" s="75" t="e">
        <f>$J8-$T$10*TINV($H$20,$I$14)/SQRT($H8)</f>
        <v>#VALUE!</v>
      </c>
      <c r="X8" s="75" t="str">
        <f>J8</f>
        <v/>
      </c>
    </row>
    <row r="9" spans="1:24" ht="13.8" thickBot="1" x14ac:dyDescent="0.3">
      <c r="A9" s="65"/>
      <c r="B9" s="66"/>
      <c r="C9" s="66"/>
      <c r="D9" s="66"/>
      <c r="E9" s="70"/>
      <c r="G9" s="81">
        <f>E3</f>
        <v>0</v>
      </c>
      <c r="H9" s="82">
        <f>COUNT(E4:E28)</f>
        <v>0</v>
      </c>
      <c r="I9" s="83">
        <f>SUM(E4:E28)</f>
        <v>0</v>
      </c>
      <c r="J9" s="83" t="str">
        <f>IF(H9&gt;0,I9/H9,"")</f>
        <v/>
      </c>
      <c r="K9" s="83" t="str">
        <f>IF(H9&gt;0,VAR(E4:E28),"")</f>
        <v/>
      </c>
      <c r="M9" s="2">
        <f>IF(H9&gt;0,H9*((J9-$M$3)^2),0)</f>
        <v>0</v>
      </c>
      <c r="N9" s="2">
        <f>IF(H9&gt;0,K9*(H9-1),0)</f>
        <v>0</v>
      </c>
      <c r="T9" s="74">
        <f>IF(H9&gt;0,(H9-1)*K9,0)</f>
        <v>0</v>
      </c>
      <c r="U9" s="74">
        <f>G9</f>
        <v>0</v>
      </c>
      <c r="V9" s="75" t="e">
        <f>J9+$T$10*TINV($H$20,H9-1)/SQRT($I$16+1)</f>
        <v>#VALUE!</v>
      </c>
      <c r="W9" s="75" t="e">
        <f>J9-$T$10*TINV($H$20,H9-1)/SQRT($I$16+1)</f>
        <v>#VALUE!</v>
      </c>
      <c r="X9" s="75" t="str">
        <f>J9</f>
        <v/>
      </c>
    </row>
    <row r="10" spans="1:24" x14ac:dyDescent="0.25">
      <c r="A10" s="65"/>
      <c r="B10" s="66"/>
      <c r="C10" s="66"/>
      <c r="D10" s="66"/>
      <c r="E10" s="70"/>
      <c r="T10" s="74">
        <f>SQRT(SUM(T5:T9)/I14)</f>
        <v>1.4142135623730947</v>
      </c>
      <c r="U10" s="84"/>
      <c r="V10" s="84"/>
      <c r="W10" s="84"/>
      <c r="X10" s="84"/>
    </row>
    <row r="11" spans="1:24" ht="13.8" thickBot="1" x14ac:dyDescent="0.3">
      <c r="A11" s="65"/>
      <c r="B11" s="66"/>
      <c r="C11" s="66"/>
      <c r="D11" s="66"/>
      <c r="E11" s="67"/>
      <c r="G11" s="62" t="s">
        <v>36</v>
      </c>
      <c r="H11" s="63"/>
      <c r="I11" s="63"/>
      <c r="J11" s="63"/>
      <c r="K11" s="63"/>
      <c r="L11" s="63"/>
    </row>
    <row r="12" spans="1:24" x14ac:dyDescent="0.25">
      <c r="A12" s="65"/>
      <c r="B12" s="66"/>
      <c r="C12" s="66"/>
      <c r="D12" s="66"/>
      <c r="E12" s="70"/>
      <c r="G12" s="68" t="s">
        <v>37</v>
      </c>
      <c r="H12" s="69" t="s">
        <v>38</v>
      </c>
      <c r="I12" s="69" t="s">
        <v>39</v>
      </c>
      <c r="J12" s="69" t="s">
        <v>40</v>
      </c>
      <c r="K12" s="69" t="s">
        <v>41</v>
      </c>
      <c r="L12" s="69" t="s">
        <v>42</v>
      </c>
    </row>
    <row r="13" spans="1:24" x14ac:dyDescent="0.25">
      <c r="A13" s="77"/>
      <c r="B13" s="78"/>
      <c r="C13" s="78"/>
      <c r="D13" s="78"/>
      <c r="E13" s="70"/>
      <c r="G13" s="85" t="s">
        <v>43</v>
      </c>
      <c r="H13" s="73">
        <f>SUM(M5:M9)</f>
        <v>22.933333333333344</v>
      </c>
      <c r="I13" s="72">
        <f>COUNTIF(H5:H9,"&gt;0")-1</f>
        <v>2</v>
      </c>
      <c r="J13" s="73">
        <f>H13/I13</f>
        <v>11.466666666666672</v>
      </c>
      <c r="K13" s="73">
        <f>J13/J14</f>
        <v>5.7333333333333387</v>
      </c>
      <c r="L13" s="80">
        <f>FINV(H20,I13,I14)</f>
        <v>3.8852938346523942</v>
      </c>
    </row>
    <row r="14" spans="1:24" x14ac:dyDescent="0.25">
      <c r="A14" s="65"/>
      <c r="B14" s="66"/>
      <c r="C14" s="66"/>
      <c r="D14" s="66"/>
      <c r="E14" s="86"/>
      <c r="G14" s="85" t="s">
        <v>44</v>
      </c>
      <c r="H14" s="73">
        <f>SUM(N5:N9)</f>
        <v>23.999999999999989</v>
      </c>
      <c r="I14" s="72">
        <f>I16-I13</f>
        <v>12</v>
      </c>
      <c r="J14" s="73">
        <f>H14/I14</f>
        <v>1.9999999999999991</v>
      </c>
      <c r="K14" s="73"/>
      <c r="L14" s="73"/>
    </row>
    <row r="15" spans="1:24" x14ac:dyDescent="0.25">
      <c r="A15" s="65"/>
      <c r="B15" s="66"/>
      <c r="C15" s="66"/>
      <c r="D15" s="66"/>
      <c r="E15" s="86"/>
      <c r="G15" s="85"/>
      <c r="H15" s="73"/>
      <c r="I15" s="72"/>
      <c r="J15" s="72"/>
      <c r="K15" s="72"/>
      <c r="L15" s="72"/>
    </row>
    <row r="16" spans="1:24" ht="13.8" thickBot="1" x14ac:dyDescent="0.3">
      <c r="A16" s="65"/>
      <c r="B16" s="66"/>
      <c r="C16" s="66"/>
      <c r="D16" s="66"/>
      <c r="E16" s="86"/>
      <c r="G16" s="87" t="s">
        <v>45</v>
      </c>
      <c r="H16" s="83">
        <f>H13+H14</f>
        <v>46.933333333333337</v>
      </c>
      <c r="I16" s="82">
        <f>SUM(H5:H9)-1</f>
        <v>14</v>
      </c>
      <c r="J16" s="82"/>
      <c r="K16" s="82"/>
      <c r="L16" s="82"/>
    </row>
    <row r="17" spans="1:19" ht="13.8" thickBot="1" x14ac:dyDescent="0.3">
      <c r="A17" s="65"/>
      <c r="B17" s="66"/>
      <c r="C17" s="66"/>
      <c r="D17" s="66"/>
      <c r="E17" s="86"/>
    </row>
    <row r="18" spans="1:19" x14ac:dyDescent="0.25">
      <c r="A18" s="77"/>
      <c r="B18" s="78"/>
      <c r="C18" s="78"/>
      <c r="D18" s="66"/>
      <c r="E18" s="86"/>
      <c r="G18" s="88" t="s">
        <v>46</v>
      </c>
      <c r="H18" s="89" t="str">
        <f>IF(I13=4,"m1 = m2 = m3 = m4 = m5",IF(I13=3,"m1 = m2 = m3 = m4","m1 = m2 = m3"))</f>
        <v>m1 = m2 = m3</v>
      </c>
      <c r="I18" s="90"/>
      <c r="J18" s="90"/>
      <c r="K18" s="91"/>
      <c r="L18" s="92"/>
    </row>
    <row r="19" spans="1:19" x14ac:dyDescent="0.25">
      <c r="A19" s="65"/>
      <c r="B19" s="66"/>
      <c r="C19" s="66"/>
      <c r="D19" s="66"/>
      <c r="E19" s="86"/>
      <c r="G19" s="93" t="s">
        <v>47</v>
      </c>
      <c r="H19" s="94" t="s">
        <v>48</v>
      </c>
      <c r="I19" s="94"/>
      <c r="J19" s="94"/>
      <c r="K19" s="11"/>
      <c r="L19" s="50"/>
      <c r="P19" s="236" t="s">
        <v>60</v>
      </c>
      <c r="Q19" s="236"/>
      <c r="R19" s="236"/>
      <c r="S19" s="236"/>
    </row>
    <row r="20" spans="1:19" x14ac:dyDescent="0.25">
      <c r="A20" s="65"/>
      <c r="B20" s="66"/>
      <c r="C20" s="66"/>
      <c r="D20" s="66"/>
      <c r="E20" s="86"/>
      <c r="G20" s="93" t="s">
        <v>49</v>
      </c>
      <c r="H20" s="95">
        <v>0.05</v>
      </c>
      <c r="I20" s="11"/>
      <c r="J20" s="11"/>
      <c r="K20" s="11"/>
      <c r="L20" s="50"/>
      <c r="P20" s="236" t="s">
        <v>288</v>
      </c>
      <c r="Q20" s="236"/>
      <c r="R20" s="236"/>
      <c r="S20" s="236"/>
    </row>
    <row r="21" spans="1:19" x14ac:dyDescent="0.25">
      <c r="A21" s="65"/>
      <c r="B21" s="66"/>
      <c r="C21" s="66"/>
      <c r="D21" s="66"/>
      <c r="E21" s="86"/>
      <c r="G21" s="93" t="s">
        <v>50</v>
      </c>
      <c r="H21" s="96">
        <f>FDIST(K13,I13,I14)</f>
        <v>1.7880474916798419E-2</v>
      </c>
      <c r="I21" s="11"/>
      <c r="J21" s="11"/>
      <c r="K21" s="11"/>
      <c r="L21" s="50"/>
      <c r="P21" s="236"/>
      <c r="Q21" s="236"/>
      <c r="R21" s="236"/>
      <c r="S21" s="236"/>
    </row>
    <row r="22" spans="1:19" ht="13.8" thickBot="1" x14ac:dyDescent="0.3">
      <c r="A22" s="65"/>
      <c r="B22" s="66"/>
      <c r="C22" s="66"/>
      <c r="D22" s="66"/>
      <c r="E22" s="86"/>
      <c r="G22" s="97" t="s">
        <v>51</v>
      </c>
      <c r="H22" s="98" t="str">
        <f>IF(K13&gt;L13,"Reject the null hypothesis","Do not reject the null hypothesis")</f>
        <v>Reject the null hypothesis</v>
      </c>
      <c r="I22" s="99"/>
      <c r="J22" s="99"/>
      <c r="K22" s="99"/>
      <c r="L22" s="16"/>
      <c r="P22" s="236" t="s">
        <v>289</v>
      </c>
      <c r="Q22" s="236"/>
      <c r="R22" s="236"/>
      <c r="S22" s="236"/>
    </row>
    <row r="23" spans="1:19" ht="13.8" thickBot="1" x14ac:dyDescent="0.3">
      <c r="A23" s="65"/>
      <c r="B23" s="78"/>
      <c r="C23" s="66"/>
      <c r="D23" s="66"/>
      <c r="E23" s="86"/>
      <c r="P23" s="236" t="s">
        <v>290</v>
      </c>
      <c r="Q23" s="236"/>
      <c r="R23" s="236"/>
      <c r="S23" s="236"/>
    </row>
    <row r="24" spans="1:19" x14ac:dyDescent="0.25">
      <c r="A24" s="65"/>
      <c r="B24" s="66"/>
      <c r="C24" s="66"/>
      <c r="D24" s="66"/>
      <c r="E24" s="86"/>
      <c r="G24" s="100" t="s">
        <v>52</v>
      </c>
      <c r="H24" s="101"/>
      <c r="I24" s="102"/>
      <c r="J24" s="91"/>
      <c r="K24" s="91"/>
      <c r="L24" s="92"/>
    </row>
    <row r="25" spans="1:19" x14ac:dyDescent="0.25">
      <c r="A25" s="77"/>
      <c r="B25" s="66"/>
      <c r="C25" s="66"/>
      <c r="D25" s="66"/>
      <c r="E25" s="86"/>
      <c r="G25" s="103"/>
      <c r="H25" s="104" t="s">
        <v>53</v>
      </c>
      <c r="I25" s="104" t="s">
        <v>19</v>
      </c>
      <c r="J25" s="104" t="s">
        <v>20</v>
      </c>
      <c r="K25" s="265" t="s">
        <v>54</v>
      </c>
      <c r="L25" s="266"/>
    </row>
    <row r="26" spans="1:19" x14ac:dyDescent="0.25">
      <c r="A26" s="65"/>
      <c r="B26" s="66"/>
      <c r="C26" s="66"/>
      <c r="D26" s="66"/>
      <c r="E26" s="86"/>
      <c r="G26" s="105" t="s">
        <v>55</v>
      </c>
      <c r="H26" s="106" t="s">
        <v>56</v>
      </c>
      <c r="I26" s="106" t="s">
        <v>57</v>
      </c>
      <c r="J26" s="106" t="s">
        <v>57</v>
      </c>
      <c r="K26" s="267" t="s">
        <v>58</v>
      </c>
      <c r="L26" s="268"/>
    </row>
    <row r="27" spans="1:19" x14ac:dyDescent="0.25">
      <c r="A27" s="65"/>
      <c r="B27" s="66"/>
      <c r="C27" s="66"/>
      <c r="D27" s="66"/>
      <c r="E27" s="86"/>
      <c r="G27" s="107" t="str">
        <f>CONCATENATE(G5," to ",G6)</f>
        <v>Banking to Retail</v>
      </c>
      <c r="H27" s="108">
        <f>ABS($J$5-$J$6)</f>
        <v>2.8000000000000007</v>
      </c>
      <c r="I27" s="108">
        <f>$H27-TINV($H$20,$I$14)*SQRT(($J$14)*((1/$H$5)+(1/$H$6)))</f>
        <v>0.85121056104616377</v>
      </c>
      <c r="J27" s="108">
        <f>$H27+TINV($H$20,$I$14)*SQRT(($J$14)*((1/$H$5)+(1/$H$6)))</f>
        <v>4.7487894389538372</v>
      </c>
      <c r="K27" s="94" t="str">
        <f>IF(I27*J27&gt;0,"***Means are different***","    - no difference -")</f>
        <v>***Means are different***</v>
      </c>
      <c r="L27" s="109"/>
    </row>
    <row r="28" spans="1:19" x14ac:dyDescent="0.25">
      <c r="A28" s="65"/>
      <c r="B28" s="66"/>
      <c r="C28" s="66"/>
      <c r="D28" s="66"/>
      <c r="E28" s="86"/>
      <c r="G28" s="107" t="str">
        <f>CONCATENATE(G5," to ",G7)</f>
        <v>Banking to Insurance</v>
      </c>
      <c r="H28" s="108">
        <f>ABS($J$5-$J$7)</f>
        <v>2.4000000000000004</v>
      </c>
      <c r="I28" s="108">
        <f>$H28-TINV($H$20,$I$14)*SQRT(($J$14)*((1/$H$5)+(1/$H$7)))</f>
        <v>0.45121056104616342</v>
      </c>
      <c r="J28" s="108">
        <f>$H28+TINV($H$20,$I$14)*SQRT(($J$14)*((1/$H$5)+(1/$H$7)))</f>
        <v>4.3487894389538369</v>
      </c>
      <c r="K28" s="94" t="str">
        <f t="shared" ref="K28:K36" si="0">IF(I28*J28&gt;0,"***Means are different***","    - no difference -")</f>
        <v>***Means are different***</v>
      </c>
      <c r="L28" s="109"/>
    </row>
    <row r="29" spans="1:19" x14ac:dyDescent="0.25">
      <c r="G29" s="107" t="str">
        <f>CONCATENATE(G6," to ",G7)</f>
        <v>Retail to Insurance</v>
      </c>
      <c r="H29" s="108">
        <f>ABS($J$6-$J$7)</f>
        <v>0.40000000000000036</v>
      </c>
      <c r="I29" s="108">
        <f>$H29-TINV($H$20,$I$14)*SQRT(($J$14)*((1/$H$6)+(1/$H$7)))</f>
        <v>-1.5487894389538366</v>
      </c>
      <c r="J29" s="108">
        <f>$H29+TINV($H$20,$I$14)*SQRT(($J$14)*((1/$H$6)+(1/$H$7)))</f>
        <v>2.3487894389538373</v>
      </c>
      <c r="K29" s="94" t="str">
        <f t="shared" si="0"/>
        <v xml:space="preserve">    - no difference -</v>
      </c>
      <c r="L29" s="109"/>
    </row>
    <row r="30" spans="1:19" ht="13.8" thickBot="1" x14ac:dyDescent="0.3">
      <c r="G30" s="107" t="str">
        <f>CONCATENATE(G5," to ",G8)</f>
        <v>Banking to 0</v>
      </c>
      <c r="H30" s="108" t="e">
        <f>ABS($J$5-$J$8)</f>
        <v>#VALUE!</v>
      </c>
      <c r="I30" s="108" t="e">
        <f>$H30-TINV($H$20,$I$14)*SQRT(($J$14)*((1/$H$5)+(1/$H$8)))</f>
        <v>#VALUE!</v>
      </c>
      <c r="J30" s="108" t="e">
        <f>$H30+TINV($H$20,$I$14)*SQRT(($J$14)*((1/$H$5)+(1/$H$8)))</f>
        <v>#VALUE!</v>
      </c>
      <c r="K30" s="94" t="e">
        <f t="shared" si="0"/>
        <v>#VALUE!</v>
      </c>
      <c r="L30" s="109"/>
    </row>
    <row r="31" spans="1:19" ht="13.8" thickBot="1" x14ac:dyDescent="0.3">
      <c r="B31" s="110" t="s">
        <v>59</v>
      </c>
      <c r="C31" s="111"/>
      <c r="D31" s="112"/>
      <c r="G31" s="107" t="str">
        <f>CONCATENATE(G6," to ",G8)</f>
        <v>Retail to 0</v>
      </c>
      <c r="H31" s="108" t="e">
        <f>ABS($J$6-$J$8)</f>
        <v>#VALUE!</v>
      </c>
      <c r="I31" s="108" t="e">
        <f>$H31-TINV($H$20,$I$14)*SQRT(($J$14)*((1/$H$6)+(1/$H$8)))</f>
        <v>#VALUE!</v>
      </c>
      <c r="J31" s="108" t="e">
        <f>$H31+TINV($H$20,$I$14)*SQRT(($J$14)*((1/$H$6)+(1/$H$8)))</f>
        <v>#VALUE!</v>
      </c>
      <c r="K31" s="94" t="e">
        <f t="shared" si="0"/>
        <v>#VALUE!</v>
      </c>
      <c r="L31" s="109"/>
    </row>
    <row r="32" spans="1:19" x14ac:dyDescent="0.25">
      <c r="G32" s="107" t="str">
        <f>CONCATENATE(G7," to ",G8)</f>
        <v>Insurance to 0</v>
      </c>
      <c r="H32" s="108" t="e">
        <f>ABS($J$7-$J$8)</f>
        <v>#VALUE!</v>
      </c>
      <c r="I32" s="108" t="e">
        <f>$H32-TINV($H$20,$I$14)*SQRT(($J$14)*((1/$H$7)+(1/$H$8)))</f>
        <v>#VALUE!</v>
      </c>
      <c r="J32" s="108" t="e">
        <f>$H32+TINV($H$20,$I$14)*SQRT(($J$14)*((1/$H$7)+(1/$H$8)))</f>
        <v>#VALUE!</v>
      </c>
      <c r="K32" s="94" t="e">
        <f t="shared" si="0"/>
        <v>#VALUE!</v>
      </c>
      <c r="L32" s="109"/>
    </row>
    <row r="33" spans="7:12" x14ac:dyDescent="0.25">
      <c r="G33" s="107" t="str">
        <f>CONCATENATE(G5," to ",G9)</f>
        <v>Banking to 0</v>
      </c>
      <c r="H33" s="108" t="e">
        <f>ABS($J$5-$J$9)</f>
        <v>#VALUE!</v>
      </c>
      <c r="I33" s="108" t="e">
        <f>$H33-TINV($H$20,$I$14)*SQRT(($J$14)*((1/$H$5)+(1/$H$9)))</f>
        <v>#VALUE!</v>
      </c>
      <c r="J33" s="108" t="e">
        <f>$H33+TINV($H$20,$I$14)*SQRT(($J$14)*((1/$H$5)+(1/$H$9)))</f>
        <v>#VALUE!</v>
      </c>
      <c r="K33" s="94" t="e">
        <f t="shared" si="0"/>
        <v>#VALUE!</v>
      </c>
      <c r="L33" s="109"/>
    </row>
    <row r="34" spans="7:12" x14ac:dyDescent="0.25">
      <c r="G34" s="107" t="str">
        <f>CONCATENATE(G6," to ",G9)</f>
        <v>Retail to 0</v>
      </c>
      <c r="H34" s="108" t="e">
        <f>ABS($J$6-$J$9)</f>
        <v>#VALUE!</v>
      </c>
      <c r="I34" s="108" t="e">
        <f>$H34-TINV($H$20,$I$14)*SQRT(($J$14)*((1/$H$6)+(1/$H$9)))</f>
        <v>#VALUE!</v>
      </c>
      <c r="J34" s="108" t="e">
        <f>$H34+TINV($H$20,$I$14)*SQRT(($J$14)*((1/$H$6)+(1/$H$9)))</f>
        <v>#VALUE!</v>
      </c>
      <c r="K34" s="94" t="e">
        <f t="shared" si="0"/>
        <v>#VALUE!</v>
      </c>
      <c r="L34" s="109"/>
    </row>
    <row r="35" spans="7:12" x14ac:dyDescent="0.25">
      <c r="G35" s="107" t="str">
        <f>CONCATENATE(G7," to ",G9)</f>
        <v>Insurance to 0</v>
      </c>
      <c r="H35" s="108" t="e">
        <f>ABS($J$7-$J$9)</f>
        <v>#VALUE!</v>
      </c>
      <c r="I35" s="108" t="e">
        <f>$H35-TINV($H$20,$I$14)*SQRT(($J$14)*((1/$H$7)+(1/$H$9)))</f>
        <v>#VALUE!</v>
      </c>
      <c r="J35" s="108" t="e">
        <f>$H35+TINV($H$20,$I$14)*SQRT(($J$14)*((1/$H$7)+(1/$H$9)))</f>
        <v>#VALUE!</v>
      </c>
      <c r="K35" s="94" t="e">
        <f t="shared" si="0"/>
        <v>#VALUE!</v>
      </c>
      <c r="L35" s="109"/>
    </row>
    <row r="36" spans="7:12" ht="13.8" thickBot="1" x14ac:dyDescent="0.3">
      <c r="G36" s="113" t="str">
        <f>CONCATENATE(G8," to ",G9)</f>
        <v>0 to 0</v>
      </c>
      <c r="H36" s="114" t="e">
        <f>ABS($J$8-$J$9)</f>
        <v>#VALUE!</v>
      </c>
      <c r="I36" s="114" t="e">
        <f>$H36-TINV($H$20,$I$14)*SQRT(($J$14)*((1/$H$8)+(1/$H$9)))</f>
        <v>#VALUE!</v>
      </c>
      <c r="J36" s="114" t="e">
        <f>$H36+TINV($H$20,$I$14)*SQRT(($J$14)*((1/$H$8)+(1/$H$9)))</f>
        <v>#VALUE!</v>
      </c>
      <c r="K36" s="115" t="e">
        <f t="shared" si="0"/>
        <v>#VALUE!</v>
      </c>
      <c r="L36" s="116"/>
    </row>
  </sheetData>
  <sheetProtection password="87CD" sheet="1" formatCells="0" formatColumns="0" formatRows="0" insertColumns="0" insertRows="0" insertHyperlinks="0" deleteColumns="0" deleteRows="0" sort="0" autoFilter="0" pivotTables="0"/>
  <mergeCells count="2">
    <mergeCell ref="K25:L25"/>
    <mergeCell ref="K26:L26"/>
  </mergeCells>
  <dataValidations count="1">
    <dataValidation type="decimal" allowBlank="1" showInputMessage="1" showErrorMessage="1" sqref="H20" xr:uid="{00000000-0002-0000-1100-000000000000}">
      <formula1>0</formula1>
      <formula2>1</formula2>
    </dataValidation>
  </dataValidations>
  <pageMargins left="0.75" right="0.75" top="1" bottom="1" header="0.5" footer="0.5"/>
  <pageSetup scale="84" orientation="landscape" horizontalDpi="4294967292" verticalDpi="300" r:id="rId1"/>
  <headerFooter alignWithMargins="0">
    <oddHeader>&amp;C&amp;A</oddHead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128"/>
  <sheetViews>
    <sheetView workbookViewId="0">
      <selection activeCell="I14" sqref="I14"/>
    </sheetView>
  </sheetViews>
  <sheetFormatPr defaultColWidth="9.109375" defaultRowHeight="13.2" x14ac:dyDescent="0.25"/>
  <cols>
    <col min="1" max="1" width="11.88671875" style="20" bestFit="1" customWidth="1"/>
    <col min="2" max="3" width="8.77734375" style="20" customWidth="1"/>
    <col min="4" max="4" width="7.33203125" style="20" customWidth="1"/>
    <col min="5" max="5" width="37.44140625" style="20" bestFit="1" customWidth="1"/>
    <col min="6" max="6" width="12.109375" style="20" customWidth="1"/>
    <col min="7" max="7" width="4.88671875" style="20" customWidth="1"/>
    <col min="8" max="8" width="10.44140625" style="20" customWidth="1"/>
    <col min="9" max="10" width="11.33203125" style="20" customWidth="1"/>
    <col min="11" max="11" width="17.44140625" style="20" customWidth="1"/>
    <col min="12" max="12" width="17.33203125" style="20" customWidth="1"/>
    <col min="13" max="13" width="12.33203125" style="20" customWidth="1"/>
    <col min="14" max="14" width="30.88671875" style="20" bestFit="1" customWidth="1"/>
    <col min="15" max="16384" width="9.109375" style="20"/>
  </cols>
  <sheetData>
    <row r="1" spans="1:13" ht="21" x14ac:dyDescent="0.4">
      <c r="A1" s="18" t="s">
        <v>61</v>
      </c>
      <c r="B1" s="19"/>
      <c r="C1" s="19"/>
      <c r="D1" s="19"/>
      <c r="E1" s="19"/>
    </row>
    <row r="2" spans="1:13" ht="21.6" thickBot="1" x14ac:dyDescent="0.45">
      <c r="A2" s="214" t="s">
        <v>86</v>
      </c>
      <c r="B2" s="215" t="s">
        <v>63</v>
      </c>
      <c r="C2" s="215" t="s">
        <v>64</v>
      </c>
      <c r="G2" s="121"/>
    </row>
    <row r="3" spans="1:13" x14ac:dyDescent="0.25">
      <c r="A3" s="216" t="s">
        <v>62</v>
      </c>
      <c r="B3" s="217" t="s">
        <v>297</v>
      </c>
      <c r="C3" s="218" t="s">
        <v>298</v>
      </c>
      <c r="E3" s="184" t="s">
        <v>65</v>
      </c>
      <c r="F3" s="185"/>
      <c r="H3" s="318" t="s">
        <v>299</v>
      </c>
      <c r="I3" s="318"/>
      <c r="J3" s="318"/>
      <c r="K3" s="318"/>
      <c r="L3" s="318"/>
      <c r="M3" s="234"/>
    </row>
    <row r="4" spans="1:13" x14ac:dyDescent="0.25">
      <c r="A4" s="219" t="s">
        <v>87</v>
      </c>
      <c r="B4" s="213">
        <v>15</v>
      </c>
      <c r="C4" s="183">
        <v>17</v>
      </c>
      <c r="E4" s="157" t="s">
        <v>66</v>
      </c>
      <c r="F4" s="175">
        <f>COUNT(C4:C128)</f>
        <v>8</v>
      </c>
      <c r="L4" s="186"/>
    </row>
    <row r="5" spans="1:13" x14ac:dyDescent="0.25">
      <c r="A5" s="219" t="s">
        <v>88</v>
      </c>
      <c r="B5" s="183">
        <v>17</v>
      </c>
      <c r="C5" s="183">
        <v>13</v>
      </c>
      <c r="E5" s="157" t="s">
        <v>67</v>
      </c>
      <c r="F5" s="187">
        <f>CORREL(C4:C128,B4:B128)</f>
        <v>-0.87439562731861076</v>
      </c>
      <c r="H5" s="318" t="s">
        <v>300</v>
      </c>
      <c r="I5" s="318"/>
      <c r="J5" s="318"/>
      <c r="K5" s="318"/>
      <c r="L5" s="318"/>
      <c r="M5" s="234"/>
    </row>
    <row r="6" spans="1:13" x14ac:dyDescent="0.25">
      <c r="A6" s="219" t="s">
        <v>89</v>
      </c>
      <c r="B6" s="183">
        <v>25</v>
      </c>
      <c r="C6" s="183">
        <v>5</v>
      </c>
      <c r="E6" s="157" t="s">
        <v>68</v>
      </c>
      <c r="F6" s="319">
        <f>F5*F5</f>
        <v>0.76456771307390681</v>
      </c>
      <c r="H6" s="318" t="s">
        <v>301</v>
      </c>
      <c r="I6" s="318"/>
      <c r="J6" s="318"/>
      <c r="K6" s="318"/>
      <c r="L6" s="320"/>
      <c r="M6" s="234"/>
    </row>
    <row r="7" spans="1:13" ht="13.8" thickBot="1" x14ac:dyDescent="0.3">
      <c r="A7" s="219" t="s">
        <v>90</v>
      </c>
      <c r="B7" s="183">
        <v>27</v>
      </c>
      <c r="C7" s="213">
        <v>7</v>
      </c>
      <c r="E7" s="162" t="s">
        <v>69</v>
      </c>
      <c r="F7" s="188">
        <f>STDEV(C4:C128)*SQRT((1-F6)*(F4-1)/(F4-2))</f>
        <v>3.3783962284795077</v>
      </c>
      <c r="L7" s="186"/>
    </row>
    <row r="8" spans="1:13" ht="13.8" thickBot="1" x14ac:dyDescent="0.3">
      <c r="A8" s="219" t="s">
        <v>91</v>
      </c>
      <c r="B8" s="183">
        <v>17</v>
      </c>
      <c r="C8" s="183">
        <v>7</v>
      </c>
      <c r="H8" s="318" t="s">
        <v>302</v>
      </c>
      <c r="I8" s="318"/>
      <c r="J8" s="318"/>
      <c r="K8" s="318"/>
      <c r="L8" s="320"/>
      <c r="M8" s="234"/>
    </row>
    <row r="9" spans="1:13" x14ac:dyDescent="0.25">
      <c r="A9" s="219" t="s">
        <v>92</v>
      </c>
      <c r="B9" s="183">
        <v>12</v>
      </c>
      <c r="C9" s="183">
        <v>21</v>
      </c>
      <c r="E9" s="184" t="s">
        <v>70</v>
      </c>
      <c r="F9" s="185"/>
      <c r="H9" s="318" t="s">
        <v>303</v>
      </c>
      <c r="I9" s="318"/>
      <c r="J9" s="318"/>
      <c r="K9" s="318"/>
      <c r="L9" s="320"/>
      <c r="M9" s="234"/>
    </row>
    <row r="10" spans="1:13" x14ac:dyDescent="0.25">
      <c r="A10" s="219" t="s">
        <v>93</v>
      </c>
      <c r="B10" s="183">
        <v>11</v>
      </c>
      <c r="C10" s="183">
        <v>19</v>
      </c>
      <c r="E10" s="189" t="s">
        <v>71</v>
      </c>
      <c r="F10" s="187">
        <f>F5*STDEV(C4:C128)/STDEV(B4:B128)</f>
        <v>-0.95962732919254667</v>
      </c>
      <c r="L10" s="186"/>
    </row>
    <row r="11" spans="1:13" x14ac:dyDescent="0.25">
      <c r="A11" s="219" t="s">
        <v>94</v>
      </c>
      <c r="B11" s="183">
        <v>22</v>
      </c>
      <c r="C11" s="183">
        <v>6</v>
      </c>
      <c r="E11" s="189" t="s">
        <v>72</v>
      </c>
      <c r="F11" s="187">
        <f>ROUND(AVERAGE(C4:C128)-F10*AVERAGE(B4:B128),3)</f>
        <v>29.388000000000002</v>
      </c>
      <c r="H11" s="318" t="s">
        <v>304</v>
      </c>
      <c r="I11" s="318"/>
      <c r="J11" s="318"/>
      <c r="K11" s="318"/>
      <c r="L11" s="320"/>
      <c r="M11" s="234"/>
    </row>
    <row r="12" spans="1:13" ht="13.8" thickBot="1" x14ac:dyDescent="0.3">
      <c r="A12" s="219" t="s">
        <v>95</v>
      </c>
      <c r="B12" s="183"/>
      <c r="C12" s="183"/>
      <c r="E12" s="190" t="str">
        <f>C3&amp;" = "&amp;ROUND(F11,3)&amp;" + "&amp;ROUND(F10,3)&amp;" ("&amp;B3&amp;")"</f>
        <v>crimes = 29.388 + -0.96 (police)</v>
      </c>
      <c r="F12" s="191"/>
      <c r="H12" s="318" t="s">
        <v>313</v>
      </c>
      <c r="I12" s="318"/>
      <c r="J12" s="318"/>
      <c r="K12" s="318"/>
      <c r="L12" s="320"/>
      <c r="M12" s="234"/>
    </row>
    <row r="13" spans="1:13" ht="13.8" thickBot="1" x14ac:dyDescent="0.3">
      <c r="A13" s="219" t="s">
        <v>96</v>
      </c>
      <c r="B13" s="183"/>
      <c r="C13" s="183"/>
      <c r="L13" s="186"/>
    </row>
    <row r="14" spans="1:13" x14ac:dyDescent="0.25">
      <c r="A14" s="219" t="s">
        <v>97</v>
      </c>
      <c r="B14" s="192"/>
      <c r="C14" s="193"/>
      <c r="E14" s="273" t="s">
        <v>73</v>
      </c>
      <c r="F14" s="274"/>
      <c r="G14" s="167"/>
      <c r="H14" s="185"/>
      <c r="L14" s="186"/>
    </row>
    <row r="15" spans="1:13" x14ac:dyDescent="0.25">
      <c r="A15" s="219" t="s">
        <v>98</v>
      </c>
      <c r="B15" s="192"/>
      <c r="C15" s="192"/>
      <c r="E15" s="189" t="s">
        <v>74</v>
      </c>
      <c r="F15" s="160">
        <v>20</v>
      </c>
      <c r="G15" s="194"/>
      <c r="H15" s="195"/>
      <c r="L15" s="186"/>
    </row>
    <row r="16" spans="1:13" x14ac:dyDescent="0.25">
      <c r="A16" s="219" t="s">
        <v>99</v>
      </c>
      <c r="B16" s="192"/>
      <c r="C16" s="183"/>
      <c r="E16" s="189" t="s">
        <v>75</v>
      </c>
      <c r="F16" s="224">
        <v>0.95</v>
      </c>
      <c r="G16" s="194"/>
      <c r="H16" s="195"/>
      <c r="L16" s="186"/>
    </row>
    <row r="17" spans="1:14" x14ac:dyDescent="0.25">
      <c r="A17" s="219" t="s">
        <v>100</v>
      </c>
      <c r="B17" s="192"/>
      <c r="C17" s="183"/>
      <c r="E17" s="189" t="s">
        <v>76</v>
      </c>
      <c r="F17" s="174">
        <f>F15*F10+F11</f>
        <v>10.195453416149068</v>
      </c>
      <c r="G17" s="194"/>
      <c r="H17" s="195"/>
      <c r="I17" s="318" t="s">
        <v>306</v>
      </c>
      <c r="J17" s="234"/>
      <c r="K17" s="234"/>
      <c r="L17" s="235"/>
    </row>
    <row r="18" spans="1:14" x14ac:dyDescent="0.25">
      <c r="A18" s="219" t="s">
        <v>101</v>
      </c>
      <c r="B18" s="192"/>
      <c r="C18" s="183"/>
      <c r="E18" s="189" t="s">
        <v>77</v>
      </c>
      <c r="F18" s="174">
        <f>F15*F10+F11</f>
        <v>10.195453416149068</v>
      </c>
      <c r="G18" s="196" t="s">
        <v>78</v>
      </c>
      <c r="H18" s="187">
        <f>SQRT(((F15-AVERAGE(B4:B128))^2)/((F4-1)*STDEV(B4:B128)^2)+(1/F4))*TINV(1-F16,G31)*F7</f>
        <v>3.0673699967454815</v>
      </c>
      <c r="L18" s="186"/>
    </row>
    <row r="19" spans="1:14" ht="13.8" thickBot="1" x14ac:dyDescent="0.3">
      <c r="A19" s="219" t="s">
        <v>102</v>
      </c>
      <c r="B19" s="192"/>
      <c r="C19" s="183"/>
      <c r="E19" s="197" t="s">
        <v>79</v>
      </c>
      <c r="F19" s="180">
        <f>F15*F10+F11</f>
        <v>10.195453416149068</v>
      </c>
      <c r="G19" s="198" t="s">
        <v>78</v>
      </c>
      <c r="H19" s="188">
        <f>SQRT(((F15-AVERAGE(B4:B128))^2)/((F4-1)*STDEV(B4:B128)^2)+(1/F4)+1)*TINV(1-F16,G31)*F7</f>
        <v>8.8173725511768648</v>
      </c>
      <c r="L19" s="186"/>
    </row>
    <row r="20" spans="1:14" ht="13.8" thickBot="1" x14ac:dyDescent="0.3">
      <c r="A20" s="219" t="s">
        <v>103</v>
      </c>
      <c r="B20" s="192"/>
      <c r="C20" s="183"/>
      <c r="L20" s="186"/>
    </row>
    <row r="21" spans="1:14" x14ac:dyDescent="0.25">
      <c r="A21" s="219" t="s">
        <v>104</v>
      </c>
      <c r="B21" s="192"/>
      <c r="C21" s="183"/>
      <c r="E21" s="184" t="s">
        <v>80</v>
      </c>
      <c r="F21" s="167"/>
      <c r="G21" s="167"/>
      <c r="H21" s="167"/>
      <c r="I21" s="167"/>
      <c r="J21" s="185"/>
      <c r="L21" s="186"/>
    </row>
    <row r="22" spans="1:14" x14ac:dyDescent="0.25">
      <c r="A22" s="219" t="s">
        <v>105</v>
      </c>
      <c r="B22" s="192"/>
      <c r="C22" s="183"/>
      <c r="E22" s="189" t="s">
        <v>81</v>
      </c>
      <c r="F22" s="194"/>
      <c r="G22" s="194"/>
      <c r="H22" s="194"/>
      <c r="I22" s="194"/>
      <c r="J22" s="195"/>
      <c r="L22" s="186"/>
    </row>
    <row r="23" spans="1:14" x14ac:dyDescent="0.25">
      <c r="A23" s="219" t="s">
        <v>106</v>
      </c>
      <c r="B23" s="192"/>
      <c r="C23" s="183"/>
      <c r="E23" s="157" t="s">
        <v>0</v>
      </c>
      <c r="F23" s="21">
        <v>0.05</v>
      </c>
      <c r="G23" s="194"/>
      <c r="H23" s="194"/>
      <c r="I23" s="194"/>
      <c r="J23" s="195"/>
      <c r="L23" s="186"/>
    </row>
    <row r="24" spans="1:14" x14ac:dyDescent="0.25">
      <c r="A24" s="219" t="s">
        <v>107</v>
      </c>
      <c r="B24" s="222"/>
      <c r="C24" s="221"/>
      <c r="E24" s="157" t="s">
        <v>82</v>
      </c>
      <c r="F24" s="199">
        <f>F5*SQRT((F4-2)/(1-F6))</f>
        <v>-4.4141856205085208</v>
      </c>
      <c r="G24" s="194"/>
      <c r="H24" s="194"/>
      <c r="I24" s="194"/>
      <c r="J24" s="195"/>
      <c r="L24" s="186"/>
    </row>
    <row r="25" spans="1:14" x14ac:dyDescent="0.25">
      <c r="A25" s="219" t="s">
        <v>108</v>
      </c>
      <c r="B25" s="222"/>
      <c r="C25" s="221"/>
      <c r="E25" s="189" t="s">
        <v>83</v>
      </c>
      <c r="F25" s="161">
        <f>TDIST(ABS(F24),F4-2,2)</f>
        <v>4.4990226510878435E-3</v>
      </c>
      <c r="G25" s="194"/>
      <c r="H25" s="194"/>
      <c r="I25" s="194"/>
      <c r="J25" s="195"/>
      <c r="K25" s="318" t="s">
        <v>305</v>
      </c>
      <c r="L25" s="235"/>
      <c r="M25" s="234"/>
      <c r="N25" s="234"/>
    </row>
    <row r="26" spans="1:14" x14ac:dyDescent="0.25">
      <c r="A26" s="219" t="s">
        <v>109</v>
      </c>
      <c r="B26" s="222"/>
      <c r="C26" s="223"/>
      <c r="E26" s="189" t="s">
        <v>5</v>
      </c>
      <c r="F26" s="200" t="str">
        <f>IF($F$25&lt;$F$23,"Reject the null hypothesis","Do not reject the null hypothesis")</f>
        <v>Reject the null hypothesis</v>
      </c>
      <c r="G26" s="194"/>
      <c r="H26" s="194"/>
      <c r="I26" s="194"/>
      <c r="J26" s="195"/>
      <c r="L26" s="186"/>
    </row>
    <row r="27" spans="1:14" ht="13.8" thickBot="1" x14ac:dyDescent="0.3">
      <c r="A27" s="219" t="s">
        <v>110</v>
      </c>
      <c r="B27" s="222"/>
      <c r="C27" s="223"/>
      <c r="E27" s="197" t="s">
        <v>84</v>
      </c>
      <c r="F27" s="201" t="str">
        <f>IF($F$25&lt;$F$23,"Conclude that correlation exists.","Insufficient evidence to conclude correlation exists.")</f>
        <v>Conclude that correlation exists.</v>
      </c>
      <c r="G27" s="164"/>
      <c r="H27" s="164"/>
      <c r="I27" s="164"/>
      <c r="J27" s="191"/>
      <c r="L27" s="186"/>
    </row>
    <row r="28" spans="1:14" ht="13.8" thickBot="1" x14ac:dyDescent="0.3">
      <c r="A28" s="219" t="s">
        <v>111</v>
      </c>
      <c r="B28" s="222"/>
      <c r="C28" s="223"/>
      <c r="L28" s="186"/>
    </row>
    <row r="29" spans="1:14" x14ac:dyDescent="0.25">
      <c r="A29" s="219" t="s">
        <v>112</v>
      </c>
      <c r="B29" s="222"/>
      <c r="C29" s="223"/>
      <c r="E29" s="202" t="s">
        <v>36</v>
      </c>
      <c r="F29" s="133" t="s">
        <v>38</v>
      </c>
      <c r="G29" s="133" t="s">
        <v>39</v>
      </c>
      <c r="H29" s="133" t="s">
        <v>40</v>
      </c>
      <c r="I29" s="133" t="s">
        <v>41</v>
      </c>
      <c r="J29" s="203" t="s">
        <v>42</v>
      </c>
      <c r="L29" s="186"/>
    </row>
    <row r="30" spans="1:14" x14ac:dyDescent="0.25">
      <c r="A30" s="219" t="s">
        <v>113</v>
      </c>
      <c r="B30" s="222"/>
      <c r="C30" s="223"/>
      <c r="E30" s="204" t="s">
        <v>85</v>
      </c>
      <c r="F30" s="205">
        <f>F32-F31</f>
        <v>222.39363354037269</v>
      </c>
      <c r="G30" s="206">
        <v>1</v>
      </c>
      <c r="H30" s="205">
        <f>F30/G30</f>
        <v>222.39363354037269</v>
      </c>
      <c r="I30" s="205">
        <f>H30/H31</f>
        <v>19.485034692304193</v>
      </c>
      <c r="J30" s="207">
        <f>FINV(F23,G30,G31)</f>
        <v>5.9873776072737011</v>
      </c>
      <c r="L30" s="186"/>
    </row>
    <row r="31" spans="1:14" x14ac:dyDescent="0.25">
      <c r="A31" s="219" t="s">
        <v>114</v>
      </c>
      <c r="B31" s="222"/>
      <c r="C31" s="223"/>
      <c r="E31" s="204" t="s">
        <v>44</v>
      </c>
      <c r="F31" s="205">
        <f>H31*G31</f>
        <v>68.481366459627367</v>
      </c>
      <c r="G31" s="206">
        <f>G32-G30</f>
        <v>6</v>
      </c>
      <c r="H31" s="205">
        <f>F7^2</f>
        <v>11.413561076604562</v>
      </c>
      <c r="I31" s="205"/>
      <c r="J31" s="208"/>
      <c r="L31" s="186"/>
    </row>
    <row r="32" spans="1:14" ht="13.8" thickBot="1" x14ac:dyDescent="0.3">
      <c r="A32" s="219" t="s">
        <v>115</v>
      </c>
      <c r="B32" s="222"/>
      <c r="C32" s="223"/>
      <c r="E32" s="209" t="s">
        <v>45</v>
      </c>
      <c r="F32" s="210">
        <f>F31/(1-F6)</f>
        <v>290.87500000000006</v>
      </c>
      <c r="G32" s="211">
        <f>F4-1</f>
        <v>7</v>
      </c>
      <c r="H32" s="211"/>
      <c r="I32" s="211"/>
      <c r="J32" s="212"/>
      <c r="L32" s="186"/>
    </row>
    <row r="33" spans="1:12" x14ac:dyDescent="0.25">
      <c r="A33" s="219" t="s">
        <v>116</v>
      </c>
      <c r="B33" s="222"/>
      <c r="C33" s="223"/>
      <c r="L33" s="186"/>
    </row>
    <row r="34" spans="1:12" x14ac:dyDescent="0.25">
      <c r="A34" s="219" t="s">
        <v>117</v>
      </c>
      <c r="B34" s="222"/>
      <c r="C34" s="223"/>
      <c r="L34" s="186"/>
    </row>
    <row r="35" spans="1:12" x14ac:dyDescent="0.25">
      <c r="A35" s="219" t="s">
        <v>118</v>
      </c>
      <c r="B35" s="222"/>
      <c r="C35" s="223"/>
      <c r="E35" s="225" t="s">
        <v>119</v>
      </c>
      <c r="F35" s="225"/>
      <c r="G35" s="226"/>
      <c r="H35" s="226"/>
      <c r="I35" s="226"/>
      <c r="L35" s="186"/>
    </row>
    <row r="36" spans="1:12" x14ac:dyDescent="0.25">
      <c r="A36" s="219" t="s">
        <v>120</v>
      </c>
      <c r="B36" s="222"/>
      <c r="C36" s="223"/>
      <c r="E36" s="225" t="s">
        <v>121</v>
      </c>
      <c r="F36" s="225"/>
      <c r="G36" s="226"/>
      <c r="H36" s="226"/>
      <c r="I36" s="226"/>
      <c r="L36" s="186"/>
    </row>
    <row r="37" spans="1:12" x14ac:dyDescent="0.25">
      <c r="A37" s="219" t="s">
        <v>122</v>
      </c>
      <c r="B37" s="222"/>
      <c r="C37" s="223"/>
      <c r="E37" s="225" t="s">
        <v>123</v>
      </c>
      <c r="F37" s="225"/>
      <c r="G37" s="226"/>
      <c r="H37" s="226"/>
      <c r="I37" s="226"/>
      <c r="L37" s="186"/>
    </row>
    <row r="38" spans="1:12" x14ac:dyDescent="0.25">
      <c r="A38" s="219" t="s">
        <v>124</v>
      </c>
      <c r="B38" s="222"/>
      <c r="C38" s="223"/>
      <c r="E38" s="225" t="s">
        <v>125</v>
      </c>
      <c r="F38" s="225"/>
      <c r="G38" s="226"/>
      <c r="H38" s="226"/>
      <c r="I38" s="226"/>
      <c r="L38" s="186"/>
    </row>
    <row r="39" spans="1:12" x14ac:dyDescent="0.25">
      <c r="A39" s="219" t="s">
        <v>126</v>
      </c>
      <c r="B39" s="222"/>
      <c r="C39" s="223"/>
      <c r="E39" s="225" t="s">
        <v>127</v>
      </c>
      <c r="F39" s="225"/>
      <c r="G39" s="226"/>
      <c r="H39" s="226"/>
      <c r="I39" s="226"/>
      <c r="L39" s="186"/>
    </row>
    <row r="40" spans="1:12" x14ac:dyDescent="0.25">
      <c r="A40" s="219" t="s">
        <v>128</v>
      </c>
      <c r="B40" s="222"/>
      <c r="C40" s="223"/>
      <c r="L40" s="186"/>
    </row>
    <row r="41" spans="1:12" x14ac:dyDescent="0.25">
      <c r="A41" s="219" t="s">
        <v>129</v>
      </c>
      <c r="B41" s="222"/>
      <c r="C41" s="223"/>
      <c r="L41" s="186"/>
    </row>
    <row r="42" spans="1:12" ht="13.8" thickBot="1" x14ac:dyDescent="0.3">
      <c r="A42" s="219" t="s">
        <v>130</v>
      </c>
      <c r="B42" s="222"/>
      <c r="C42" s="223"/>
      <c r="L42" s="186"/>
    </row>
    <row r="43" spans="1:12" ht="13.8" thickBot="1" x14ac:dyDescent="0.3">
      <c r="A43" s="219" t="s">
        <v>131</v>
      </c>
      <c r="B43" s="222"/>
      <c r="C43" s="223"/>
      <c r="F43" s="176" t="s">
        <v>132</v>
      </c>
      <c r="G43" s="177"/>
      <c r="H43" s="178"/>
      <c r="L43" s="186"/>
    </row>
    <row r="44" spans="1:12" x14ac:dyDescent="0.25">
      <c r="A44" s="219" t="s">
        <v>133</v>
      </c>
      <c r="B44" s="222"/>
      <c r="C44" s="223"/>
      <c r="L44" s="186"/>
    </row>
    <row r="45" spans="1:12" x14ac:dyDescent="0.25">
      <c r="A45" s="219" t="s">
        <v>134</v>
      </c>
      <c r="B45" s="222"/>
      <c r="C45" s="223"/>
      <c r="L45" s="186"/>
    </row>
    <row r="46" spans="1:12" x14ac:dyDescent="0.25">
      <c r="A46" s="219" t="s">
        <v>135</v>
      </c>
      <c r="B46" s="222"/>
      <c r="C46" s="223"/>
      <c r="L46" s="186"/>
    </row>
    <row r="47" spans="1:12" x14ac:dyDescent="0.25">
      <c r="A47" s="219" t="s">
        <v>136</v>
      </c>
      <c r="B47" s="222"/>
      <c r="C47" s="223"/>
      <c r="L47" s="186"/>
    </row>
    <row r="48" spans="1:12" x14ac:dyDescent="0.25">
      <c r="A48" s="219" t="s">
        <v>137</v>
      </c>
      <c r="B48" s="222"/>
      <c r="C48" s="223"/>
      <c r="L48" s="186"/>
    </row>
    <row r="49" spans="1:12" x14ac:dyDescent="0.25">
      <c r="A49" s="219" t="s">
        <v>138</v>
      </c>
      <c r="B49" s="222"/>
      <c r="C49" s="223"/>
      <c r="L49" s="186"/>
    </row>
    <row r="50" spans="1:12" x14ac:dyDescent="0.25">
      <c r="A50" s="219" t="s">
        <v>139</v>
      </c>
      <c r="B50" s="222"/>
      <c r="C50" s="223"/>
      <c r="L50" s="186"/>
    </row>
    <row r="51" spans="1:12" x14ac:dyDescent="0.25">
      <c r="A51" s="219" t="s">
        <v>140</v>
      </c>
      <c r="B51" s="222"/>
      <c r="C51" s="223"/>
      <c r="L51" s="186"/>
    </row>
    <row r="52" spans="1:12" x14ac:dyDescent="0.25">
      <c r="A52" s="219" t="s">
        <v>141</v>
      </c>
      <c r="B52" s="222"/>
      <c r="C52" s="223"/>
      <c r="L52" s="186"/>
    </row>
    <row r="53" spans="1:12" x14ac:dyDescent="0.25">
      <c r="A53" s="219" t="s">
        <v>142</v>
      </c>
      <c r="B53" s="222"/>
      <c r="C53" s="223"/>
      <c r="L53" s="186"/>
    </row>
    <row r="54" spans="1:12" x14ac:dyDescent="0.25">
      <c r="A54" s="219" t="s">
        <v>143</v>
      </c>
      <c r="B54" s="222"/>
      <c r="C54" s="223"/>
      <c r="L54" s="186"/>
    </row>
    <row r="55" spans="1:12" x14ac:dyDescent="0.25">
      <c r="A55" s="219" t="s">
        <v>144</v>
      </c>
      <c r="B55" s="222"/>
      <c r="C55" s="223"/>
      <c r="L55" s="186"/>
    </row>
    <row r="56" spans="1:12" x14ac:dyDescent="0.25">
      <c r="A56" s="219" t="s">
        <v>145</v>
      </c>
      <c r="B56" s="222"/>
      <c r="C56" s="223"/>
      <c r="L56" s="186"/>
    </row>
    <row r="57" spans="1:12" x14ac:dyDescent="0.25">
      <c r="A57" s="219" t="s">
        <v>146</v>
      </c>
      <c r="B57" s="222"/>
      <c r="C57" s="223"/>
      <c r="L57" s="186"/>
    </row>
    <row r="58" spans="1:12" x14ac:dyDescent="0.25">
      <c r="A58" s="219" t="s">
        <v>147</v>
      </c>
      <c r="B58" s="222"/>
      <c r="C58" s="223"/>
      <c r="L58" s="186"/>
    </row>
    <row r="59" spans="1:12" x14ac:dyDescent="0.25">
      <c r="A59" s="219" t="s">
        <v>148</v>
      </c>
      <c r="B59" s="222"/>
      <c r="C59" s="223"/>
      <c r="L59" s="186"/>
    </row>
    <row r="60" spans="1:12" x14ac:dyDescent="0.25">
      <c r="A60" s="219" t="s">
        <v>149</v>
      </c>
      <c r="B60" s="222"/>
      <c r="C60" s="223"/>
      <c r="L60" s="186"/>
    </row>
    <row r="61" spans="1:12" x14ac:dyDescent="0.25">
      <c r="A61" s="219" t="s">
        <v>150</v>
      </c>
      <c r="B61" s="222"/>
      <c r="C61" s="223"/>
      <c r="L61" s="186"/>
    </row>
    <row r="62" spans="1:12" x14ac:dyDescent="0.25">
      <c r="A62" s="219" t="s">
        <v>151</v>
      </c>
      <c r="B62" s="222"/>
      <c r="C62" s="223"/>
      <c r="L62" s="186"/>
    </row>
    <row r="63" spans="1:12" x14ac:dyDescent="0.25">
      <c r="A63" s="219" t="s">
        <v>152</v>
      </c>
      <c r="B63" s="222"/>
      <c r="C63" s="223"/>
      <c r="L63" s="186"/>
    </row>
    <row r="64" spans="1:12" x14ac:dyDescent="0.25">
      <c r="A64" s="219" t="s">
        <v>153</v>
      </c>
      <c r="B64" s="222"/>
      <c r="C64" s="223"/>
      <c r="L64" s="186"/>
    </row>
    <row r="65" spans="1:12" x14ac:dyDescent="0.25">
      <c r="A65" s="219" t="s">
        <v>154</v>
      </c>
      <c r="B65" s="222"/>
      <c r="C65" s="223"/>
      <c r="L65" s="186"/>
    </row>
    <row r="66" spans="1:12" x14ac:dyDescent="0.25">
      <c r="A66" s="219" t="s">
        <v>155</v>
      </c>
      <c r="B66" s="222"/>
      <c r="C66" s="223"/>
      <c r="L66" s="186"/>
    </row>
    <row r="67" spans="1:12" x14ac:dyDescent="0.25">
      <c r="A67" s="219" t="s">
        <v>156</v>
      </c>
      <c r="B67" s="222"/>
      <c r="C67" s="223"/>
      <c r="L67" s="186"/>
    </row>
    <row r="68" spans="1:12" x14ac:dyDescent="0.25">
      <c r="A68" s="219" t="s">
        <v>157</v>
      </c>
      <c r="B68" s="222"/>
      <c r="C68" s="223"/>
      <c r="L68" s="186"/>
    </row>
    <row r="69" spans="1:12" x14ac:dyDescent="0.25">
      <c r="A69" s="219" t="s">
        <v>158</v>
      </c>
      <c r="B69" s="222"/>
      <c r="C69" s="223"/>
      <c r="L69" s="186"/>
    </row>
    <row r="70" spans="1:12" x14ac:dyDescent="0.25">
      <c r="A70" s="219" t="s">
        <v>159</v>
      </c>
      <c r="B70" s="222"/>
      <c r="C70" s="223"/>
      <c r="L70" s="186"/>
    </row>
    <row r="71" spans="1:12" x14ac:dyDescent="0.25">
      <c r="A71" s="219" t="s">
        <v>160</v>
      </c>
      <c r="B71" s="222"/>
      <c r="C71" s="223"/>
      <c r="L71" s="186"/>
    </row>
    <row r="72" spans="1:12" x14ac:dyDescent="0.25">
      <c r="A72" s="219" t="s">
        <v>161</v>
      </c>
      <c r="B72" s="222"/>
      <c r="C72" s="223"/>
      <c r="L72" s="186"/>
    </row>
    <row r="73" spans="1:12" x14ac:dyDescent="0.25">
      <c r="A73" s="219" t="s">
        <v>162</v>
      </c>
      <c r="B73" s="222"/>
      <c r="C73" s="223"/>
      <c r="L73" s="186"/>
    </row>
    <row r="74" spans="1:12" x14ac:dyDescent="0.25">
      <c r="A74" s="219" t="s">
        <v>163</v>
      </c>
      <c r="B74" s="222"/>
      <c r="C74" s="223"/>
      <c r="L74" s="186"/>
    </row>
    <row r="75" spans="1:12" x14ac:dyDescent="0.25">
      <c r="A75" s="219" t="s">
        <v>164</v>
      </c>
      <c r="B75" s="222"/>
      <c r="C75" s="223"/>
      <c r="L75" s="186"/>
    </row>
    <row r="76" spans="1:12" x14ac:dyDescent="0.25">
      <c r="A76" s="219" t="s">
        <v>165</v>
      </c>
      <c r="B76" s="222"/>
      <c r="C76" s="223"/>
      <c r="L76" s="186"/>
    </row>
    <row r="77" spans="1:12" x14ac:dyDescent="0.25">
      <c r="A77" s="219" t="s">
        <v>166</v>
      </c>
      <c r="B77" s="222"/>
      <c r="C77" s="223"/>
      <c r="L77" s="186"/>
    </row>
    <row r="78" spans="1:12" x14ac:dyDescent="0.25">
      <c r="A78" s="219" t="s">
        <v>167</v>
      </c>
      <c r="B78" s="222"/>
      <c r="C78" s="223"/>
      <c r="L78" s="186"/>
    </row>
    <row r="79" spans="1:12" x14ac:dyDescent="0.25">
      <c r="A79" s="219" t="s">
        <v>168</v>
      </c>
      <c r="B79" s="222"/>
      <c r="C79" s="223"/>
      <c r="L79" s="186"/>
    </row>
    <row r="80" spans="1:12" x14ac:dyDescent="0.25">
      <c r="A80" s="219" t="s">
        <v>169</v>
      </c>
      <c r="B80" s="222"/>
      <c r="C80" s="223"/>
      <c r="L80" s="186"/>
    </row>
    <row r="81" spans="1:12" x14ac:dyDescent="0.25">
      <c r="A81" s="219" t="s">
        <v>170</v>
      </c>
      <c r="B81" s="222"/>
      <c r="C81" s="223"/>
      <c r="L81" s="186"/>
    </row>
    <row r="82" spans="1:12" x14ac:dyDescent="0.25">
      <c r="A82" s="219" t="s">
        <v>171</v>
      </c>
      <c r="B82" s="222"/>
      <c r="C82" s="223"/>
      <c r="L82" s="186"/>
    </row>
    <row r="83" spans="1:12" x14ac:dyDescent="0.25">
      <c r="A83" s="219" t="s">
        <v>172</v>
      </c>
      <c r="B83" s="222"/>
      <c r="C83" s="223"/>
      <c r="L83" s="186"/>
    </row>
    <row r="84" spans="1:12" x14ac:dyDescent="0.25">
      <c r="A84" s="219" t="s">
        <v>173</v>
      </c>
      <c r="B84" s="222"/>
      <c r="C84" s="223"/>
      <c r="L84" s="186"/>
    </row>
    <row r="85" spans="1:12" x14ac:dyDescent="0.25">
      <c r="A85" s="219" t="s">
        <v>174</v>
      </c>
      <c r="B85" s="222"/>
      <c r="C85" s="223"/>
      <c r="L85" s="186"/>
    </row>
    <row r="86" spans="1:12" x14ac:dyDescent="0.25">
      <c r="A86" s="219" t="s">
        <v>175</v>
      </c>
      <c r="B86" s="222"/>
      <c r="C86" s="223"/>
      <c r="L86" s="186"/>
    </row>
    <row r="87" spans="1:12" x14ac:dyDescent="0.25">
      <c r="A87" s="219" t="s">
        <v>176</v>
      </c>
      <c r="B87" s="222"/>
      <c r="C87" s="223"/>
      <c r="L87" s="186"/>
    </row>
    <row r="88" spans="1:12" x14ac:dyDescent="0.25">
      <c r="A88" s="219" t="s">
        <v>177</v>
      </c>
      <c r="B88" s="222"/>
      <c r="C88" s="223"/>
      <c r="L88" s="186"/>
    </row>
    <row r="89" spans="1:12" x14ac:dyDescent="0.25">
      <c r="A89" s="219" t="s">
        <v>178</v>
      </c>
      <c r="B89" s="222"/>
      <c r="C89" s="223"/>
      <c r="L89" s="186"/>
    </row>
    <row r="90" spans="1:12" x14ac:dyDescent="0.25">
      <c r="A90" s="219" t="s">
        <v>179</v>
      </c>
      <c r="B90" s="222"/>
      <c r="C90" s="223"/>
      <c r="L90" s="186"/>
    </row>
    <row r="91" spans="1:12" x14ac:dyDescent="0.25">
      <c r="A91" s="219" t="s">
        <v>180</v>
      </c>
      <c r="B91" s="222"/>
      <c r="C91" s="223"/>
      <c r="L91" s="186"/>
    </row>
    <row r="92" spans="1:12" x14ac:dyDescent="0.25">
      <c r="A92" s="219" t="s">
        <v>181</v>
      </c>
      <c r="B92" s="222"/>
      <c r="C92" s="223"/>
      <c r="L92" s="186"/>
    </row>
    <row r="93" spans="1:12" x14ac:dyDescent="0.25">
      <c r="A93" s="219" t="s">
        <v>182</v>
      </c>
      <c r="B93" s="222"/>
      <c r="C93" s="223"/>
      <c r="L93" s="186"/>
    </row>
    <row r="94" spans="1:12" x14ac:dyDescent="0.25">
      <c r="A94" s="219" t="s">
        <v>183</v>
      </c>
      <c r="B94" s="222"/>
      <c r="C94" s="223"/>
      <c r="L94" s="186"/>
    </row>
    <row r="95" spans="1:12" x14ac:dyDescent="0.25">
      <c r="A95" s="219" t="s">
        <v>184</v>
      </c>
      <c r="B95" s="222"/>
      <c r="C95" s="223"/>
      <c r="L95" s="186"/>
    </row>
    <row r="96" spans="1:12" x14ac:dyDescent="0.25">
      <c r="A96" s="219" t="s">
        <v>185</v>
      </c>
      <c r="B96" s="222"/>
      <c r="C96" s="223"/>
      <c r="L96" s="186"/>
    </row>
    <row r="97" spans="1:12" x14ac:dyDescent="0.25">
      <c r="A97" s="219" t="s">
        <v>186</v>
      </c>
      <c r="B97" s="222"/>
      <c r="C97" s="223"/>
      <c r="L97" s="186"/>
    </row>
    <row r="98" spans="1:12" x14ac:dyDescent="0.25">
      <c r="A98" s="219" t="s">
        <v>187</v>
      </c>
      <c r="B98" s="222"/>
      <c r="C98" s="223"/>
      <c r="L98" s="186"/>
    </row>
    <row r="99" spans="1:12" x14ac:dyDescent="0.25">
      <c r="A99" s="219" t="s">
        <v>188</v>
      </c>
      <c r="B99" s="222"/>
      <c r="C99" s="223"/>
      <c r="L99" s="186"/>
    </row>
    <row r="100" spans="1:12" x14ac:dyDescent="0.25">
      <c r="A100" s="219" t="s">
        <v>189</v>
      </c>
      <c r="B100" s="222"/>
      <c r="C100" s="223"/>
      <c r="L100" s="186"/>
    </row>
    <row r="101" spans="1:12" x14ac:dyDescent="0.25">
      <c r="A101" s="219" t="s">
        <v>190</v>
      </c>
      <c r="B101" s="222"/>
      <c r="C101" s="223"/>
      <c r="L101" s="186"/>
    </row>
    <row r="102" spans="1:12" x14ac:dyDescent="0.25">
      <c r="A102" s="219" t="s">
        <v>191</v>
      </c>
      <c r="B102" s="222"/>
      <c r="C102" s="223"/>
      <c r="L102" s="186"/>
    </row>
    <row r="103" spans="1:12" x14ac:dyDescent="0.25">
      <c r="A103" s="219" t="s">
        <v>192</v>
      </c>
      <c r="B103" s="222"/>
      <c r="C103" s="223"/>
      <c r="L103" s="186"/>
    </row>
    <row r="104" spans="1:12" x14ac:dyDescent="0.25">
      <c r="A104" s="219" t="s">
        <v>193</v>
      </c>
      <c r="B104" s="222"/>
      <c r="C104" s="223"/>
      <c r="L104" s="186"/>
    </row>
    <row r="105" spans="1:12" x14ac:dyDescent="0.25">
      <c r="A105" s="219" t="s">
        <v>194</v>
      </c>
      <c r="B105" s="222"/>
      <c r="C105" s="223"/>
      <c r="L105" s="186"/>
    </row>
    <row r="106" spans="1:12" x14ac:dyDescent="0.25">
      <c r="A106" s="219" t="s">
        <v>195</v>
      </c>
      <c r="B106" s="222"/>
      <c r="C106" s="223"/>
      <c r="L106" s="186"/>
    </row>
    <row r="107" spans="1:12" x14ac:dyDescent="0.25">
      <c r="A107" s="219" t="s">
        <v>196</v>
      </c>
      <c r="B107" s="222"/>
      <c r="C107" s="223"/>
      <c r="L107" s="186"/>
    </row>
    <row r="108" spans="1:12" x14ac:dyDescent="0.25">
      <c r="A108" s="219" t="s">
        <v>197</v>
      </c>
      <c r="B108" s="222"/>
      <c r="C108" s="223"/>
      <c r="L108" s="186"/>
    </row>
    <row r="109" spans="1:12" x14ac:dyDescent="0.25">
      <c r="A109" s="219" t="s">
        <v>198</v>
      </c>
      <c r="B109" s="222"/>
      <c r="C109" s="223"/>
      <c r="L109" s="186"/>
    </row>
    <row r="110" spans="1:12" x14ac:dyDescent="0.25">
      <c r="A110" s="219" t="s">
        <v>199</v>
      </c>
      <c r="B110" s="222"/>
      <c r="C110" s="223"/>
      <c r="L110" s="186"/>
    </row>
    <row r="111" spans="1:12" x14ac:dyDescent="0.25">
      <c r="A111" s="219" t="s">
        <v>200</v>
      </c>
      <c r="B111" s="222"/>
      <c r="C111" s="223"/>
      <c r="L111" s="186"/>
    </row>
    <row r="112" spans="1:12" x14ac:dyDescent="0.25">
      <c r="A112" s="219" t="s">
        <v>201</v>
      </c>
      <c r="B112" s="222"/>
      <c r="C112" s="223"/>
      <c r="L112" s="186"/>
    </row>
    <row r="113" spans="1:12" x14ac:dyDescent="0.25">
      <c r="A113" s="219" t="s">
        <v>202</v>
      </c>
      <c r="B113" s="222"/>
      <c r="C113" s="223"/>
      <c r="L113" s="186"/>
    </row>
    <row r="114" spans="1:12" x14ac:dyDescent="0.25">
      <c r="A114" s="219" t="s">
        <v>203</v>
      </c>
      <c r="B114" s="222"/>
      <c r="C114" s="223"/>
      <c r="L114" s="186"/>
    </row>
    <row r="115" spans="1:12" x14ac:dyDescent="0.25">
      <c r="A115" s="219" t="s">
        <v>204</v>
      </c>
      <c r="B115" s="222"/>
      <c r="C115" s="223"/>
      <c r="L115" s="186"/>
    </row>
    <row r="116" spans="1:12" x14ac:dyDescent="0.25">
      <c r="A116" s="219" t="s">
        <v>205</v>
      </c>
      <c r="B116" s="222"/>
      <c r="C116" s="223"/>
      <c r="L116" s="186"/>
    </row>
    <row r="117" spans="1:12" x14ac:dyDescent="0.25">
      <c r="A117" s="219" t="s">
        <v>206</v>
      </c>
      <c r="B117" s="222"/>
      <c r="C117" s="223"/>
      <c r="L117" s="186"/>
    </row>
    <row r="118" spans="1:12" x14ac:dyDescent="0.25">
      <c r="A118" s="219" t="s">
        <v>207</v>
      </c>
      <c r="B118" s="222"/>
      <c r="C118" s="223"/>
      <c r="L118" s="186"/>
    </row>
    <row r="119" spans="1:12" x14ac:dyDescent="0.25">
      <c r="A119" s="219" t="s">
        <v>208</v>
      </c>
      <c r="B119" s="222"/>
      <c r="C119" s="223"/>
      <c r="L119" s="186"/>
    </row>
    <row r="120" spans="1:12" x14ac:dyDescent="0.25">
      <c r="A120" s="219" t="s">
        <v>209</v>
      </c>
      <c r="B120" s="222"/>
      <c r="C120" s="223"/>
      <c r="L120" s="186"/>
    </row>
    <row r="121" spans="1:12" x14ac:dyDescent="0.25">
      <c r="A121" s="219" t="s">
        <v>210</v>
      </c>
      <c r="B121" s="222"/>
      <c r="C121" s="223"/>
      <c r="L121" s="186"/>
    </row>
    <row r="122" spans="1:12" x14ac:dyDescent="0.25">
      <c r="A122" s="219" t="s">
        <v>211</v>
      </c>
      <c r="B122" s="222"/>
      <c r="C122" s="223"/>
      <c r="L122" s="186"/>
    </row>
    <row r="123" spans="1:12" x14ac:dyDescent="0.25">
      <c r="A123" s="219" t="s">
        <v>212</v>
      </c>
      <c r="B123" s="222"/>
      <c r="C123" s="223"/>
      <c r="L123" s="186"/>
    </row>
    <row r="124" spans="1:12" x14ac:dyDescent="0.25">
      <c r="A124" s="219" t="s">
        <v>213</v>
      </c>
      <c r="B124" s="222"/>
      <c r="C124" s="223"/>
      <c r="L124" s="186"/>
    </row>
    <row r="125" spans="1:12" x14ac:dyDescent="0.25">
      <c r="A125" s="219" t="s">
        <v>214</v>
      </c>
      <c r="B125" s="222"/>
      <c r="C125" s="223"/>
      <c r="L125" s="186"/>
    </row>
    <row r="126" spans="1:12" x14ac:dyDescent="0.25">
      <c r="A126" s="219" t="s">
        <v>215</v>
      </c>
      <c r="B126" s="222"/>
      <c r="C126" s="223"/>
      <c r="L126" s="186"/>
    </row>
    <row r="127" spans="1:12" x14ac:dyDescent="0.25">
      <c r="A127" s="219" t="s">
        <v>216</v>
      </c>
      <c r="B127" s="222"/>
      <c r="C127" s="223"/>
      <c r="L127" s="186"/>
    </row>
    <row r="128" spans="1:12" ht="13.8" thickBot="1" x14ac:dyDescent="0.3">
      <c r="A128" s="227" t="s">
        <v>217</v>
      </c>
      <c r="B128" s="228"/>
      <c r="C128" s="229"/>
    </row>
  </sheetData>
  <sheetProtection password="87CD" sheet="1" formatCells="0" formatColumns="0" formatRows="0" insertColumns="0" insertRows="0" insertHyperlinks="0" deleteColumns="0" deleteRows="0" sort="0" autoFilter="0" pivotTables="0"/>
  <mergeCells count="1">
    <mergeCell ref="E14:F14"/>
  </mergeCells>
  <dataValidations count="1">
    <dataValidation type="decimal" allowBlank="1" showInputMessage="1" showErrorMessage="1" sqref="F16 F23" xr:uid="{00000000-0002-0000-1800-000000000000}">
      <formula1>0</formula1>
      <formula2>1</formula2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32"/>
  <sheetViews>
    <sheetView zoomScale="85" workbookViewId="0">
      <selection activeCell="I3" sqref="I3"/>
    </sheetView>
  </sheetViews>
  <sheetFormatPr defaultColWidth="9.109375" defaultRowHeight="13.2" x14ac:dyDescent="0.25"/>
  <cols>
    <col min="1" max="1" width="4" style="230" customWidth="1"/>
    <col min="2" max="16384" width="9.109375" style="230"/>
  </cols>
  <sheetData>
    <row r="1" spans="1:14" ht="21" x14ac:dyDescent="0.4">
      <c r="A1" s="148"/>
      <c r="B1" s="148"/>
      <c r="C1" s="275" t="str">
        <f>'13.5a'!E12</f>
        <v>crimes = 29.388 + -0.96 (police)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148"/>
    </row>
    <row r="2" spans="1:14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x14ac:dyDescent="0.25">
      <c r="A7" s="276" t="str">
        <f>'13.5a'!C3</f>
        <v>crimes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x14ac:dyDescent="0.25">
      <c r="A8" s="276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25">
      <c r="A9" s="276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x14ac:dyDescent="0.25">
      <c r="A10" s="276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x14ac:dyDescent="0.25">
      <c r="A11" s="276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x14ac:dyDescent="0.25">
      <c r="A12" s="276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x14ac:dyDescent="0.25">
      <c r="A13" s="276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x14ac:dyDescent="0.25">
      <c r="A14" s="276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x14ac:dyDescent="0.25">
      <c r="A15" s="276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x14ac:dyDescent="0.25">
      <c r="A16" s="276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x14ac:dyDescent="0.25">
      <c r="A17" s="276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x14ac:dyDescent="0.25">
      <c r="A18" s="276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x14ac:dyDescent="0.25">
      <c r="A19" s="276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  <row r="20" spans="1:14" x14ac:dyDescent="0.25">
      <c r="A20" s="276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</row>
    <row r="21" spans="1:14" x14ac:dyDescent="0.25">
      <c r="A21" s="276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x14ac:dyDescent="0.25">
      <c r="A22" s="276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x14ac:dyDescent="0.25">
      <c r="A23" s="276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14" x14ac:dyDescent="0.25">
      <c r="A24" s="276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1:14" x14ac:dyDescent="0.25">
      <c r="A25" s="276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x14ac:dyDescent="0.25">
      <c r="A26" s="276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ht="51.75" customHeight="1" x14ac:dyDescent="0.25">
      <c r="A27" s="276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 x14ac:dyDescent="0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x14ac:dyDescent="0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 x14ac:dyDescent="0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ht="20.25" customHeight="1" thickBot="1" x14ac:dyDescent="0.45">
      <c r="A31" s="148"/>
      <c r="B31" s="148"/>
      <c r="C31" s="277" t="str">
        <f>'13.5a'!B3</f>
        <v>police</v>
      </c>
      <c r="D31" s="277"/>
      <c r="E31" s="277"/>
      <c r="F31" s="277"/>
      <c r="G31" s="277"/>
      <c r="H31" s="277"/>
      <c r="I31" s="277"/>
      <c r="J31" s="277"/>
      <c r="K31" s="277"/>
      <c r="L31" s="277"/>
      <c r="M31" s="148"/>
      <c r="N31" s="148"/>
    </row>
    <row r="32" spans="1:14" ht="21.6" thickBot="1" x14ac:dyDescent="0.45">
      <c r="A32" s="148"/>
      <c r="B32" s="148"/>
      <c r="C32" s="231" t="str">
        <f>"r = "&amp;ROUND('13.5a'!F5,3)</f>
        <v>r = -0.874</v>
      </c>
      <c r="D32" s="232"/>
      <c r="E32" s="148"/>
      <c r="F32" s="148"/>
      <c r="G32" s="148"/>
      <c r="H32" s="148"/>
      <c r="I32" s="148"/>
      <c r="J32" s="231" t="str">
        <f>"r-squared = "&amp;ROUND('13.5a'!F6,3)</f>
        <v>r-squared = 0.765</v>
      </c>
      <c r="K32" s="233"/>
      <c r="L32" s="232"/>
      <c r="M32" s="148"/>
      <c r="N32" s="148"/>
    </row>
  </sheetData>
  <sheetProtection password="87CD" sheet="1" objects="1" scenarios="1" formatCells="0" formatColumns="0" formatRows="0" insertColumns="0" insertRows="0" insertHyperlinks="0"/>
  <mergeCells count="3">
    <mergeCell ref="C1:M1"/>
    <mergeCell ref="A7:A27"/>
    <mergeCell ref="C31:L31"/>
  </mergeCells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>
      <selection activeCell="D14" sqref="D14"/>
    </sheetView>
  </sheetViews>
  <sheetFormatPr defaultColWidth="9.109375" defaultRowHeight="13.2" x14ac:dyDescent="0.25"/>
  <cols>
    <col min="1" max="1" width="25.6640625" style="2" customWidth="1"/>
    <col min="2" max="2" width="17.44140625" style="2" customWidth="1"/>
    <col min="3" max="3" width="17.33203125" style="2" customWidth="1"/>
    <col min="4" max="4" width="12.33203125" style="2" customWidth="1"/>
    <col min="5" max="5" width="30.88671875" style="2" bestFit="1" customWidth="1"/>
    <col min="6" max="16384" width="9.109375" style="2"/>
  </cols>
  <sheetData>
    <row r="1" spans="1:5" ht="21" x14ac:dyDescent="0.4">
      <c r="A1" s="257" t="s">
        <v>221</v>
      </c>
      <c r="B1" s="256"/>
      <c r="C1" s="256"/>
      <c r="D1" s="256"/>
      <c r="E1" s="1"/>
    </row>
    <row r="2" spans="1:5" ht="11.85" customHeight="1" x14ac:dyDescent="0.25"/>
    <row r="3" spans="1:5" x14ac:dyDescent="0.25">
      <c r="A3" s="255" t="s">
        <v>220</v>
      </c>
      <c r="B3" s="37">
        <v>6.8</v>
      </c>
      <c r="C3" s="253"/>
      <c r="D3" s="253"/>
      <c r="E3" s="253"/>
    </row>
    <row r="4" spans="1:5" x14ac:dyDescent="0.25">
      <c r="A4" s="254" t="s">
        <v>0</v>
      </c>
      <c r="B4" s="37">
        <v>0.05</v>
      </c>
      <c r="C4" s="253"/>
      <c r="D4" s="253"/>
      <c r="E4" s="253"/>
    </row>
    <row r="5" spans="1:5" x14ac:dyDescent="0.25">
      <c r="A5" s="255" t="s">
        <v>1</v>
      </c>
      <c r="B5" s="37">
        <v>36</v>
      </c>
      <c r="C5" s="253"/>
      <c r="D5" s="253"/>
      <c r="E5" s="253"/>
    </row>
    <row r="6" spans="1:5" x14ac:dyDescent="0.25">
      <c r="A6" s="255" t="s">
        <v>2</v>
      </c>
      <c r="B6" s="37">
        <v>6.2</v>
      </c>
      <c r="C6" s="253"/>
      <c r="D6" s="253"/>
      <c r="E6" s="253"/>
    </row>
    <row r="7" spans="1:5" x14ac:dyDescent="0.25">
      <c r="A7" s="255" t="s">
        <v>219</v>
      </c>
      <c r="B7" s="37">
        <v>0.5</v>
      </c>
      <c r="C7" s="253"/>
      <c r="D7" s="253"/>
      <c r="E7" s="253"/>
    </row>
    <row r="8" spans="1:5" x14ac:dyDescent="0.25">
      <c r="E8" s="3"/>
    </row>
    <row r="9" spans="1:5" x14ac:dyDescent="0.25">
      <c r="A9" s="252" t="s">
        <v>8</v>
      </c>
      <c r="B9" s="251">
        <f>(B6-B3)/(B7/SQRT(B5))</f>
        <v>-7.1999999999999957</v>
      </c>
      <c r="E9" s="3"/>
    </row>
    <row r="10" spans="1:5" x14ac:dyDescent="0.25">
      <c r="E10" s="3"/>
    </row>
    <row r="11" spans="1:5" ht="13.8" thickBot="1" x14ac:dyDescent="0.3">
      <c r="E11" s="3"/>
    </row>
    <row r="12" spans="1:5" x14ac:dyDescent="0.25">
      <c r="A12" s="250" t="s">
        <v>218</v>
      </c>
      <c r="B12" s="249" t="s">
        <v>9</v>
      </c>
      <c r="C12" s="249" t="s">
        <v>10</v>
      </c>
      <c r="D12" s="248" t="s">
        <v>12</v>
      </c>
      <c r="E12" s="247" t="s">
        <v>5</v>
      </c>
    </row>
    <row r="13" spans="1:5" x14ac:dyDescent="0.25">
      <c r="A13" s="246"/>
      <c r="B13"/>
      <c r="C13"/>
      <c r="D13" s="245"/>
      <c r="E13" s="244"/>
    </row>
    <row r="14" spans="1:5" x14ac:dyDescent="0.25">
      <c r="A14" s="243" t="s">
        <v>222</v>
      </c>
      <c r="B14" s="242">
        <f>IF($B$5&gt;29,NORMSINV($B$4),-TINV(2*$B$4,$B$5-1))</f>
        <v>-1.6448536269514726</v>
      </c>
      <c r="C14" s="242" t="s">
        <v>11</v>
      </c>
      <c r="D14" s="242">
        <f>IF(B5&lt;30,IF(B9&lt;0,TDIST(ABS(B9),B5-1,1),1-TDIST(ABS(B9),B5-1,1)),NORMSDIST(B9))</f>
        <v>3.0106279811175298E-13</v>
      </c>
      <c r="E14" s="241" t="str">
        <f>IF(D14&lt;$B$4,"Reject the null hypothesis","Do not reject the null hypothesis")</f>
        <v>Reject the null hypothesis</v>
      </c>
    </row>
    <row r="15" spans="1:5" ht="13.8" thickBot="1" x14ac:dyDescent="0.3">
      <c r="A15" s="240" t="str">
        <f>"HA:  m &lt; "&amp;B3</f>
        <v>HA:  m &lt; 6.8</v>
      </c>
      <c r="B15" s="239"/>
      <c r="C15" s="239"/>
      <c r="D15" s="259"/>
      <c r="E15" s="258"/>
    </row>
    <row r="17" spans="1:5" x14ac:dyDescent="0.25">
      <c r="A17" s="236" t="s">
        <v>229</v>
      </c>
      <c r="B17" s="236"/>
      <c r="C17" s="236"/>
      <c r="D17" s="236"/>
      <c r="E17" s="264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128"/>
  <sheetViews>
    <sheetView workbookViewId="0">
      <selection activeCell="N10" sqref="N10"/>
    </sheetView>
  </sheetViews>
  <sheetFormatPr defaultColWidth="9.109375" defaultRowHeight="13.2" x14ac:dyDescent="0.25"/>
  <cols>
    <col min="1" max="1" width="11.88671875" style="20" bestFit="1" customWidth="1"/>
    <col min="2" max="2" width="9.33203125" style="20" customWidth="1"/>
    <col min="3" max="3" width="11.21875" style="20" customWidth="1"/>
    <col min="4" max="4" width="7.33203125" style="20" customWidth="1"/>
    <col min="5" max="5" width="37.44140625" style="20" bestFit="1" customWidth="1"/>
    <col min="6" max="6" width="12.109375" style="20" customWidth="1"/>
    <col min="7" max="7" width="4.88671875" style="20" customWidth="1"/>
    <col min="8" max="8" width="10.44140625" style="20" customWidth="1"/>
    <col min="9" max="10" width="11.33203125" style="20" customWidth="1"/>
    <col min="11" max="11" width="17.44140625" style="20" customWidth="1"/>
    <col min="12" max="12" width="17.33203125" style="20" customWidth="1"/>
    <col min="13" max="13" width="12.33203125" style="20" customWidth="1"/>
    <col min="14" max="14" width="30.88671875" style="20" bestFit="1" customWidth="1"/>
    <col min="15" max="16384" width="9.109375" style="20"/>
  </cols>
  <sheetData>
    <row r="1" spans="1:13" ht="21" x14ac:dyDescent="0.4">
      <c r="A1" s="18" t="s">
        <v>61</v>
      </c>
      <c r="B1" s="19"/>
      <c r="C1" s="19"/>
      <c r="D1" s="19"/>
      <c r="E1" s="19"/>
    </row>
    <row r="2" spans="1:13" ht="21.6" thickBot="1" x14ac:dyDescent="0.45">
      <c r="A2" s="214" t="s">
        <v>86</v>
      </c>
      <c r="B2" s="215" t="s">
        <v>63</v>
      </c>
      <c r="C2" s="215" t="s">
        <v>64</v>
      </c>
      <c r="G2" s="121"/>
    </row>
    <row r="3" spans="1:13" x14ac:dyDescent="0.25">
      <c r="A3" s="216" t="s">
        <v>62</v>
      </c>
      <c r="B3" s="217" t="s">
        <v>274</v>
      </c>
      <c r="C3" s="218" t="s">
        <v>307</v>
      </c>
      <c r="E3" s="184" t="s">
        <v>65</v>
      </c>
      <c r="F3" s="185"/>
      <c r="L3" s="186"/>
    </row>
    <row r="4" spans="1:13" x14ac:dyDescent="0.25">
      <c r="A4" s="219" t="s">
        <v>87</v>
      </c>
      <c r="B4" s="220">
        <v>89.2</v>
      </c>
      <c r="C4" s="221">
        <v>4.9000000000000004</v>
      </c>
      <c r="E4" s="157" t="s">
        <v>66</v>
      </c>
      <c r="F4" s="175">
        <f>COUNT(C4:C128)</f>
        <v>12</v>
      </c>
      <c r="L4" s="186"/>
    </row>
    <row r="5" spans="1:13" x14ac:dyDescent="0.25">
      <c r="A5" s="219" t="s">
        <v>88</v>
      </c>
      <c r="B5" s="220">
        <v>18.600000000000001</v>
      </c>
      <c r="C5" s="221">
        <v>4.4000000000000004</v>
      </c>
      <c r="E5" s="157" t="s">
        <v>67</v>
      </c>
      <c r="F5" s="187">
        <f>CORREL(C4:C128,B4:B128)</f>
        <v>0.67349925248989406</v>
      </c>
      <c r="H5" s="318" t="s">
        <v>308</v>
      </c>
      <c r="I5" s="318"/>
      <c r="J5" s="318"/>
      <c r="K5" s="318"/>
      <c r="L5" s="318"/>
      <c r="M5" s="234"/>
    </row>
    <row r="6" spans="1:13" x14ac:dyDescent="0.25">
      <c r="A6" s="219" t="s">
        <v>89</v>
      </c>
      <c r="B6" s="220">
        <v>18.2</v>
      </c>
      <c r="C6" s="221">
        <v>1.3</v>
      </c>
      <c r="E6" s="157" t="s">
        <v>68</v>
      </c>
      <c r="F6" s="319">
        <f>F5*F5</f>
        <v>0.45360124310444605</v>
      </c>
      <c r="H6" s="318" t="s">
        <v>309</v>
      </c>
      <c r="I6" s="234"/>
      <c r="J6" s="234"/>
      <c r="K6" s="234"/>
      <c r="L6" s="235"/>
      <c r="M6" s="234"/>
    </row>
    <row r="7" spans="1:13" ht="13.8" thickBot="1" x14ac:dyDescent="0.3">
      <c r="A7" s="219" t="s">
        <v>90</v>
      </c>
      <c r="B7" s="220">
        <v>71.7</v>
      </c>
      <c r="C7" s="221">
        <v>8</v>
      </c>
      <c r="E7" s="162" t="s">
        <v>69</v>
      </c>
      <c r="F7" s="188">
        <f>STDEV(C4:C128)*SQRT((1-F6)*(F4-1)/(F4-2))</f>
        <v>2.5176827531513131</v>
      </c>
      <c r="L7" s="186"/>
    </row>
    <row r="8" spans="1:13" ht="13.8" thickBot="1" x14ac:dyDescent="0.3">
      <c r="A8" s="219" t="s">
        <v>91</v>
      </c>
      <c r="B8" s="220">
        <v>58.6</v>
      </c>
      <c r="C8" s="221">
        <v>6.6</v>
      </c>
      <c r="L8" s="186"/>
    </row>
    <row r="9" spans="1:13" x14ac:dyDescent="0.25">
      <c r="A9" s="219" t="s">
        <v>92</v>
      </c>
      <c r="B9" s="220">
        <v>46.8</v>
      </c>
      <c r="C9" s="221">
        <v>4.0999999999999996</v>
      </c>
      <c r="E9" s="184" t="s">
        <v>70</v>
      </c>
      <c r="F9" s="185"/>
      <c r="L9" s="186"/>
    </row>
    <row r="10" spans="1:13" x14ac:dyDescent="0.25">
      <c r="A10" s="219" t="s">
        <v>93</v>
      </c>
      <c r="B10" s="220">
        <v>17.5</v>
      </c>
      <c r="C10" s="221">
        <v>2.6</v>
      </c>
      <c r="E10" s="189" t="s">
        <v>71</v>
      </c>
      <c r="F10" s="187">
        <f>F5*STDEV(C4:C128)/STDEV(B4:B128)</f>
        <v>8.3574475201884976E-2</v>
      </c>
      <c r="L10" s="186"/>
    </row>
    <row r="11" spans="1:13" x14ac:dyDescent="0.25">
      <c r="A11" s="219" t="s">
        <v>94</v>
      </c>
      <c r="B11" s="220">
        <v>11.9</v>
      </c>
      <c r="C11" s="221">
        <v>1.7</v>
      </c>
      <c r="E11" s="189" t="s">
        <v>72</v>
      </c>
      <c r="F11" s="187">
        <f>ROUND(AVERAGE(C4:C128)-F10*AVERAGE(B4:B128),3)</f>
        <v>1.8520000000000001</v>
      </c>
      <c r="H11" s="318" t="s">
        <v>314</v>
      </c>
      <c r="I11" s="318"/>
      <c r="J11" s="318"/>
      <c r="K11" s="318"/>
      <c r="L11" s="320"/>
      <c r="M11" s="234"/>
    </row>
    <row r="12" spans="1:13" ht="13.8" thickBot="1" x14ac:dyDescent="0.3">
      <c r="A12" s="219" t="s">
        <v>95</v>
      </c>
      <c r="B12" s="220">
        <v>19.600000000000001</v>
      </c>
      <c r="C12" s="221">
        <v>3.5</v>
      </c>
      <c r="E12" s="190" t="str">
        <f>C3&amp;" = "&amp;ROUND(F11,3)&amp;" + "&amp;ROUND(F10,3)&amp;" ("&amp;B3&amp;")"</f>
        <v>Earnings = 1.852 + 0.084 (Sales)</v>
      </c>
      <c r="F12" s="191"/>
      <c r="H12" s="318" t="s">
        <v>312</v>
      </c>
      <c r="I12" s="318"/>
      <c r="J12" s="318"/>
      <c r="K12" s="318"/>
      <c r="L12" s="320"/>
      <c r="M12" s="234"/>
    </row>
    <row r="13" spans="1:13" ht="13.8" thickBot="1" x14ac:dyDescent="0.3">
      <c r="A13" s="219" t="s">
        <v>96</v>
      </c>
      <c r="B13" s="220">
        <v>51.2</v>
      </c>
      <c r="C13" s="221">
        <v>8.1999999999999993</v>
      </c>
      <c r="L13" s="186"/>
    </row>
    <row r="14" spans="1:13" x14ac:dyDescent="0.25">
      <c r="A14" s="219" t="s">
        <v>97</v>
      </c>
      <c r="B14" s="222">
        <v>28.6</v>
      </c>
      <c r="C14" s="223">
        <v>6</v>
      </c>
      <c r="E14" s="273" t="s">
        <v>73</v>
      </c>
      <c r="F14" s="274"/>
      <c r="G14" s="167"/>
      <c r="H14" s="185"/>
      <c r="L14" s="186"/>
    </row>
    <row r="15" spans="1:13" x14ac:dyDescent="0.25">
      <c r="A15" s="219" t="s">
        <v>98</v>
      </c>
      <c r="B15" s="222">
        <v>69.2</v>
      </c>
      <c r="C15" s="223">
        <v>12.8</v>
      </c>
      <c r="E15" s="189" t="s">
        <v>74</v>
      </c>
      <c r="F15" s="160">
        <v>50</v>
      </c>
      <c r="G15" s="194"/>
      <c r="H15" s="195"/>
      <c r="L15" s="186"/>
    </row>
    <row r="16" spans="1:13" x14ac:dyDescent="0.25">
      <c r="A16" s="219" t="s">
        <v>99</v>
      </c>
      <c r="B16" s="222"/>
      <c r="C16" s="221"/>
      <c r="E16" s="189" t="s">
        <v>75</v>
      </c>
      <c r="F16" s="224">
        <v>0.95</v>
      </c>
      <c r="G16" s="194"/>
      <c r="H16" s="195"/>
      <c r="L16" s="186"/>
    </row>
    <row r="17" spans="1:14" x14ac:dyDescent="0.25">
      <c r="A17" s="219" t="s">
        <v>100</v>
      </c>
      <c r="B17" s="222"/>
      <c r="C17" s="221"/>
      <c r="E17" s="189" t="s">
        <v>76</v>
      </c>
      <c r="F17" s="174">
        <f>F15*F10+F11</f>
        <v>6.0307237600942489</v>
      </c>
      <c r="G17" s="194"/>
      <c r="H17" s="195"/>
      <c r="I17" s="318" t="s">
        <v>311</v>
      </c>
      <c r="J17" s="234"/>
      <c r="K17" s="234"/>
      <c r="L17" s="234"/>
      <c r="M17" s="234"/>
    </row>
    <row r="18" spans="1:14" x14ac:dyDescent="0.25">
      <c r="A18" s="219" t="s">
        <v>101</v>
      </c>
      <c r="B18" s="222"/>
      <c r="C18" s="221"/>
      <c r="E18" s="189" t="s">
        <v>77</v>
      </c>
      <c r="F18" s="174">
        <f>F15*F10+F11</f>
        <v>6.0307237600942489</v>
      </c>
      <c r="G18" s="196" t="s">
        <v>78</v>
      </c>
      <c r="H18" s="187">
        <f>SQRT(((F15-AVERAGE(B4:B128))^2)/((F4-1)*STDEV(B4:B128)^2)+(1/F4))*TINV(1-F16,G31)*F7</f>
        <v>1.7047472177612728</v>
      </c>
      <c r="L18" s="186"/>
    </row>
    <row r="19" spans="1:14" ht="13.8" thickBot="1" x14ac:dyDescent="0.3">
      <c r="A19" s="219" t="s">
        <v>102</v>
      </c>
      <c r="B19" s="222"/>
      <c r="C19" s="221"/>
      <c r="E19" s="197" t="s">
        <v>79</v>
      </c>
      <c r="F19" s="180">
        <f>F15*F10+F11</f>
        <v>6.0307237600942489</v>
      </c>
      <c r="G19" s="198" t="s">
        <v>78</v>
      </c>
      <c r="H19" s="188">
        <f>SQRT(((F15-AVERAGE(B4:B128))^2)/((F4-1)*STDEV(B4:B128)^2)+(1/F4)+1)*TINV(1-F16,G31)*F7</f>
        <v>5.8630556691566431</v>
      </c>
      <c r="L19" s="186"/>
    </row>
    <row r="20" spans="1:14" ht="13.8" thickBot="1" x14ac:dyDescent="0.3">
      <c r="A20" s="219" t="s">
        <v>103</v>
      </c>
      <c r="B20" s="222"/>
      <c r="C20" s="221"/>
      <c r="L20" s="186"/>
    </row>
    <row r="21" spans="1:14" x14ac:dyDescent="0.25">
      <c r="A21" s="219" t="s">
        <v>104</v>
      </c>
      <c r="B21" s="222"/>
      <c r="C21" s="221"/>
      <c r="E21" s="184" t="s">
        <v>80</v>
      </c>
      <c r="F21" s="167"/>
      <c r="G21" s="167"/>
      <c r="H21" s="167"/>
      <c r="I21" s="167"/>
      <c r="J21" s="185"/>
      <c r="L21" s="186"/>
    </row>
    <row r="22" spans="1:14" x14ac:dyDescent="0.25">
      <c r="A22" s="219" t="s">
        <v>105</v>
      </c>
      <c r="B22" s="222"/>
      <c r="C22" s="221"/>
      <c r="E22" s="189" t="s">
        <v>81</v>
      </c>
      <c r="F22" s="194"/>
      <c r="G22" s="194"/>
      <c r="H22" s="194"/>
      <c r="I22" s="194"/>
      <c r="J22" s="195"/>
      <c r="L22" s="186"/>
    </row>
    <row r="23" spans="1:14" x14ac:dyDescent="0.25">
      <c r="A23" s="219" t="s">
        <v>106</v>
      </c>
      <c r="B23" s="222"/>
      <c r="C23" s="221"/>
      <c r="E23" s="157" t="s">
        <v>0</v>
      </c>
      <c r="F23" s="21">
        <v>0.05</v>
      </c>
      <c r="G23" s="194"/>
      <c r="H23" s="194"/>
      <c r="I23" s="194"/>
      <c r="J23" s="195"/>
      <c r="L23" s="186"/>
    </row>
    <row r="24" spans="1:14" x14ac:dyDescent="0.25">
      <c r="A24" s="219" t="s">
        <v>107</v>
      </c>
      <c r="B24" s="222"/>
      <c r="C24" s="221"/>
      <c r="E24" s="157" t="s">
        <v>82</v>
      </c>
      <c r="F24" s="199">
        <f>F5*SQRT((F4-2)/(1-F6))</f>
        <v>2.8812587838434607</v>
      </c>
      <c r="G24" s="194"/>
      <c r="H24" s="194"/>
      <c r="I24" s="194"/>
      <c r="J24" s="195"/>
      <c r="L24" s="186"/>
    </row>
    <row r="25" spans="1:14" x14ac:dyDescent="0.25">
      <c r="A25" s="219" t="s">
        <v>108</v>
      </c>
      <c r="B25" s="222"/>
      <c r="C25" s="221"/>
      <c r="E25" s="189" t="s">
        <v>83</v>
      </c>
      <c r="F25" s="161">
        <f>TDIST(ABS(F24),F4-2,2)</f>
        <v>1.6350220079028168E-2</v>
      </c>
      <c r="G25" s="194"/>
      <c r="H25" s="194"/>
      <c r="I25" s="194"/>
      <c r="J25" s="195"/>
      <c r="K25" s="318" t="s">
        <v>310</v>
      </c>
      <c r="L25" s="235"/>
      <c r="M25" s="234"/>
      <c r="N25" s="234"/>
    </row>
    <row r="26" spans="1:14" x14ac:dyDescent="0.25">
      <c r="A26" s="219" t="s">
        <v>109</v>
      </c>
      <c r="B26" s="222"/>
      <c r="C26" s="223"/>
      <c r="E26" s="189" t="s">
        <v>5</v>
      </c>
      <c r="F26" s="200" t="str">
        <f>IF($F$25&lt;$F$23,"Reject the null hypothesis","Do not reject the null hypothesis")</f>
        <v>Reject the null hypothesis</v>
      </c>
      <c r="G26" s="194"/>
      <c r="H26" s="194"/>
      <c r="I26" s="194"/>
      <c r="J26" s="195"/>
      <c r="L26" s="186"/>
    </row>
    <row r="27" spans="1:14" ht="13.8" thickBot="1" x14ac:dyDescent="0.3">
      <c r="A27" s="219" t="s">
        <v>110</v>
      </c>
      <c r="B27" s="222"/>
      <c r="C27" s="223"/>
      <c r="E27" s="197" t="s">
        <v>84</v>
      </c>
      <c r="F27" s="201" t="str">
        <f>IF($F$25&lt;$F$23,"Conclude that correlation exists.","Insufficient evidence to conclude correlation exists.")</f>
        <v>Conclude that correlation exists.</v>
      </c>
      <c r="G27" s="164"/>
      <c r="H27" s="164"/>
      <c r="I27" s="164"/>
      <c r="J27" s="191"/>
      <c r="L27" s="186"/>
    </row>
    <row r="28" spans="1:14" ht="13.8" thickBot="1" x14ac:dyDescent="0.3">
      <c r="A28" s="219" t="s">
        <v>111</v>
      </c>
      <c r="B28" s="222"/>
      <c r="C28" s="223"/>
      <c r="L28" s="186"/>
    </row>
    <row r="29" spans="1:14" x14ac:dyDescent="0.25">
      <c r="A29" s="219" t="s">
        <v>112</v>
      </c>
      <c r="B29" s="222"/>
      <c r="C29" s="223"/>
      <c r="E29" s="202" t="s">
        <v>36</v>
      </c>
      <c r="F29" s="133" t="s">
        <v>38</v>
      </c>
      <c r="G29" s="133" t="s">
        <v>39</v>
      </c>
      <c r="H29" s="133" t="s">
        <v>40</v>
      </c>
      <c r="I29" s="133" t="s">
        <v>41</v>
      </c>
      <c r="J29" s="203" t="s">
        <v>42</v>
      </c>
      <c r="L29" s="186"/>
    </row>
    <row r="30" spans="1:14" x14ac:dyDescent="0.25">
      <c r="A30" s="219" t="s">
        <v>113</v>
      </c>
      <c r="B30" s="222"/>
      <c r="C30" s="223"/>
      <c r="E30" s="204" t="s">
        <v>85</v>
      </c>
      <c r="F30" s="205">
        <f>F32-F31</f>
        <v>52.621902211510829</v>
      </c>
      <c r="G30" s="206">
        <v>1</v>
      </c>
      <c r="H30" s="205">
        <f>F30/G30</f>
        <v>52.621902211510829</v>
      </c>
      <c r="I30" s="205">
        <f>H30/H31</f>
        <v>8.3016521794750986</v>
      </c>
      <c r="J30" s="207">
        <f>FINV(F23,G30,G31)</f>
        <v>4.9646027437307128</v>
      </c>
      <c r="L30" s="186"/>
    </row>
    <row r="31" spans="1:14" x14ac:dyDescent="0.25">
      <c r="A31" s="219" t="s">
        <v>114</v>
      </c>
      <c r="B31" s="222"/>
      <c r="C31" s="223"/>
      <c r="E31" s="204" t="s">
        <v>44</v>
      </c>
      <c r="F31" s="205">
        <f>H31*G31</f>
        <v>63.387264455155758</v>
      </c>
      <c r="G31" s="206">
        <f>G32-G30</f>
        <v>10</v>
      </c>
      <c r="H31" s="205">
        <f>F7^2</f>
        <v>6.3387264455155758</v>
      </c>
      <c r="I31" s="205"/>
      <c r="J31" s="208"/>
      <c r="L31" s="186"/>
    </row>
    <row r="32" spans="1:14" ht="13.8" thickBot="1" x14ac:dyDescent="0.3">
      <c r="A32" s="219" t="s">
        <v>115</v>
      </c>
      <c r="B32" s="222"/>
      <c r="C32" s="223"/>
      <c r="E32" s="209" t="s">
        <v>45</v>
      </c>
      <c r="F32" s="210">
        <f>F31/(1-F6)</f>
        <v>116.00916666666659</v>
      </c>
      <c r="G32" s="211">
        <f>F4-1</f>
        <v>11</v>
      </c>
      <c r="H32" s="211"/>
      <c r="I32" s="211"/>
      <c r="J32" s="212"/>
      <c r="L32" s="186"/>
    </row>
    <row r="33" spans="1:12" x14ac:dyDescent="0.25">
      <c r="A33" s="219" t="s">
        <v>116</v>
      </c>
      <c r="B33" s="222"/>
      <c r="C33" s="223"/>
      <c r="L33" s="186"/>
    </row>
    <row r="34" spans="1:12" x14ac:dyDescent="0.25">
      <c r="A34" s="219" t="s">
        <v>117</v>
      </c>
      <c r="B34" s="222"/>
      <c r="C34" s="223"/>
      <c r="L34" s="186"/>
    </row>
    <row r="35" spans="1:12" x14ac:dyDescent="0.25">
      <c r="A35" s="219" t="s">
        <v>118</v>
      </c>
      <c r="B35" s="222"/>
      <c r="C35" s="223"/>
      <c r="E35" s="225" t="s">
        <v>119</v>
      </c>
      <c r="F35" s="225"/>
      <c r="G35" s="226"/>
      <c r="H35" s="226"/>
      <c r="I35" s="226"/>
      <c r="L35" s="186"/>
    </row>
    <row r="36" spans="1:12" x14ac:dyDescent="0.25">
      <c r="A36" s="219" t="s">
        <v>120</v>
      </c>
      <c r="B36" s="222"/>
      <c r="C36" s="223"/>
      <c r="E36" s="225" t="s">
        <v>121</v>
      </c>
      <c r="F36" s="225"/>
      <c r="G36" s="226"/>
      <c r="H36" s="226"/>
      <c r="I36" s="226"/>
      <c r="L36" s="186"/>
    </row>
    <row r="37" spans="1:12" x14ac:dyDescent="0.25">
      <c r="A37" s="219" t="s">
        <v>122</v>
      </c>
      <c r="B37" s="222"/>
      <c r="C37" s="223"/>
      <c r="E37" s="225" t="s">
        <v>123</v>
      </c>
      <c r="F37" s="225"/>
      <c r="G37" s="226"/>
      <c r="H37" s="226"/>
      <c r="I37" s="226"/>
      <c r="L37" s="186"/>
    </row>
    <row r="38" spans="1:12" x14ac:dyDescent="0.25">
      <c r="A38" s="219" t="s">
        <v>124</v>
      </c>
      <c r="B38" s="222"/>
      <c r="C38" s="223"/>
      <c r="E38" s="225" t="s">
        <v>125</v>
      </c>
      <c r="F38" s="225"/>
      <c r="G38" s="226"/>
      <c r="H38" s="226"/>
      <c r="I38" s="226"/>
      <c r="L38" s="186"/>
    </row>
    <row r="39" spans="1:12" x14ac:dyDescent="0.25">
      <c r="A39" s="219" t="s">
        <v>126</v>
      </c>
      <c r="B39" s="222"/>
      <c r="C39" s="223"/>
      <c r="E39" s="225" t="s">
        <v>127</v>
      </c>
      <c r="F39" s="225"/>
      <c r="G39" s="226"/>
      <c r="H39" s="226"/>
      <c r="I39" s="226"/>
      <c r="L39" s="186"/>
    </row>
    <row r="40" spans="1:12" x14ac:dyDescent="0.25">
      <c r="A40" s="219" t="s">
        <v>128</v>
      </c>
      <c r="B40" s="222"/>
      <c r="C40" s="223"/>
      <c r="L40" s="186"/>
    </row>
    <row r="41" spans="1:12" x14ac:dyDescent="0.25">
      <c r="A41" s="219" t="s">
        <v>129</v>
      </c>
      <c r="B41" s="222"/>
      <c r="C41" s="223"/>
      <c r="L41" s="186"/>
    </row>
    <row r="42" spans="1:12" ht="13.8" thickBot="1" x14ac:dyDescent="0.3">
      <c r="A42" s="219" t="s">
        <v>130</v>
      </c>
      <c r="B42" s="222"/>
      <c r="C42" s="223"/>
      <c r="L42" s="186"/>
    </row>
    <row r="43" spans="1:12" ht="13.8" thickBot="1" x14ac:dyDescent="0.3">
      <c r="A43" s="219" t="s">
        <v>131</v>
      </c>
      <c r="B43" s="222"/>
      <c r="C43" s="223"/>
      <c r="F43" s="176" t="s">
        <v>132</v>
      </c>
      <c r="G43" s="177"/>
      <c r="H43" s="178"/>
      <c r="L43" s="186"/>
    </row>
    <row r="44" spans="1:12" x14ac:dyDescent="0.25">
      <c r="A44" s="219" t="s">
        <v>133</v>
      </c>
      <c r="B44" s="222"/>
      <c r="C44" s="223"/>
      <c r="L44" s="186"/>
    </row>
    <row r="45" spans="1:12" x14ac:dyDescent="0.25">
      <c r="A45" s="219" t="s">
        <v>134</v>
      </c>
      <c r="B45" s="222"/>
      <c r="C45" s="223"/>
      <c r="L45" s="186"/>
    </row>
    <row r="46" spans="1:12" x14ac:dyDescent="0.25">
      <c r="A46" s="219" t="s">
        <v>135</v>
      </c>
      <c r="B46" s="222"/>
      <c r="C46" s="223"/>
      <c r="L46" s="186"/>
    </row>
    <row r="47" spans="1:12" x14ac:dyDescent="0.25">
      <c r="A47" s="219" t="s">
        <v>136</v>
      </c>
      <c r="B47" s="222"/>
      <c r="C47" s="223"/>
      <c r="L47" s="186"/>
    </row>
    <row r="48" spans="1:12" x14ac:dyDescent="0.25">
      <c r="A48" s="219" t="s">
        <v>137</v>
      </c>
      <c r="B48" s="222"/>
      <c r="C48" s="223"/>
      <c r="L48" s="186"/>
    </row>
    <row r="49" spans="1:12" x14ac:dyDescent="0.25">
      <c r="A49" s="219" t="s">
        <v>138</v>
      </c>
      <c r="B49" s="222"/>
      <c r="C49" s="223"/>
      <c r="L49" s="186"/>
    </row>
    <row r="50" spans="1:12" x14ac:dyDescent="0.25">
      <c r="A50" s="219" t="s">
        <v>139</v>
      </c>
      <c r="B50" s="222"/>
      <c r="C50" s="223"/>
      <c r="L50" s="186"/>
    </row>
    <row r="51" spans="1:12" x14ac:dyDescent="0.25">
      <c r="A51" s="219" t="s">
        <v>140</v>
      </c>
      <c r="B51" s="222"/>
      <c r="C51" s="223"/>
      <c r="L51" s="186"/>
    </row>
    <row r="52" spans="1:12" x14ac:dyDescent="0.25">
      <c r="A52" s="219" t="s">
        <v>141</v>
      </c>
      <c r="B52" s="222"/>
      <c r="C52" s="223"/>
      <c r="L52" s="186"/>
    </row>
    <row r="53" spans="1:12" x14ac:dyDescent="0.25">
      <c r="A53" s="219" t="s">
        <v>142</v>
      </c>
      <c r="B53" s="222"/>
      <c r="C53" s="223"/>
      <c r="L53" s="186"/>
    </row>
    <row r="54" spans="1:12" x14ac:dyDescent="0.25">
      <c r="A54" s="219" t="s">
        <v>143</v>
      </c>
      <c r="B54" s="222"/>
      <c r="C54" s="223"/>
      <c r="L54" s="186"/>
    </row>
    <row r="55" spans="1:12" x14ac:dyDescent="0.25">
      <c r="A55" s="219" t="s">
        <v>144</v>
      </c>
      <c r="B55" s="222"/>
      <c r="C55" s="223"/>
      <c r="L55" s="186"/>
    </row>
    <row r="56" spans="1:12" x14ac:dyDescent="0.25">
      <c r="A56" s="219" t="s">
        <v>145</v>
      </c>
      <c r="B56" s="222"/>
      <c r="C56" s="223"/>
      <c r="L56" s="186"/>
    </row>
    <row r="57" spans="1:12" x14ac:dyDescent="0.25">
      <c r="A57" s="219" t="s">
        <v>146</v>
      </c>
      <c r="B57" s="222"/>
      <c r="C57" s="223"/>
      <c r="L57" s="186"/>
    </row>
    <row r="58" spans="1:12" x14ac:dyDescent="0.25">
      <c r="A58" s="219" t="s">
        <v>147</v>
      </c>
      <c r="B58" s="222"/>
      <c r="C58" s="223"/>
      <c r="L58" s="186"/>
    </row>
    <row r="59" spans="1:12" x14ac:dyDescent="0.25">
      <c r="A59" s="219" t="s">
        <v>148</v>
      </c>
      <c r="B59" s="222"/>
      <c r="C59" s="223"/>
      <c r="L59" s="186"/>
    </row>
    <row r="60" spans="1:12" x14ac:dyDescent="0.25">
      <c r="A60" s="219" t="s">
        <v>149</v>
      </c>
      <c r="B60" s="222"/>
      <c r="C60" s="223"/>
      <c r="L60" s="186"/>
    </row>
    <row r="61" spans="1:12" x14ac:dyDescent="0.25">
      <c r="A61" s="219" t="s">
        <v>150</v>
      </c>
      <c r="B61" s="222"/>
      <c r="C61" s="223"/>
      <c r="L61" s="186"/>
    </row>
    <row r="62" spans="1:12" x14ac:dyDescent="0.25">
      <c r="A62" s="219" t="s">
        <v>151</v>
      </c>
      <c r="B62" s="222"/>
      <c r="C62" s="223"/>
      <c r="L62" s="186"/>
    </row>
    <row r="63" spans="1:12" x14ac:dyDescent="0.25">
      <c r="A63" s="219" t="s">
        <v>152</v>
      </c>
      <c r="B63" s="222"/>
      <c r="C63" s="223"/>
      <c r="L63" s="186"/>
    </row>
    <row r="64" spans="1:12" x14ac:dyDescent="0.25">
      <c r="A64" s="219" t="s">
        <v>153</v>
      </c>
      <c r="B64" s="222"/>
      <c r="C64" s="223"/>
      <c r="L64" s="186"/>
    </row>
    <row r="65" spans="1:12" x14ac:dyDescent="0.25">
      <c r="A65" s="219" t="s">
        <v>154</v>
      </c>
      <c r="B65" s="222"/>
      <c r="C65" s="223"/>
      <c r="L65" s="186"/>
    </row>
    <row r="66" spans="1:12" x14ac:dyDescent="0.25">
      <c r="A66" s="219" t="s">
        <v>155</v>
      </c>
      <c r="B66" s="222"/>
      <c r="C66" s="223"/>
      <c r="L66" s="186"/>
    </row>
    <row r="67" spans="1:12" x14ac:dyDescent="0.25">
      <c r="A67" s="219" t="s">
        <v>156</v>
      </c>
      <c r="B67" s="222"/>
      <c r="C67" s="223"/>
      <c r="L67" s="186"/>
    </row>
    <row r="68" spans="1:12" x14ac:dyDescent="0.25">
      <c r="A68" s="219" t="s">
        <v>157</v>
      </c>
      <c r="B68" s="222"/>
      <c r="C68" s="223"/>
      <c r="L68" s="186"/>
    </row>
    <row r="69" spans="1:12" x14ac:dyDescent="0.25">
      <c r="A69" s="219" t="s">
        <v>158</v>
      </c>
      <c r="B69" s="222"/>
      <c r="C69" s="223"/>
      <c r="L69" s="186"/>
    </row>
    <row r="70" spans="1:12" x14ac:dyDescent="0.25">
      <c r="A70" s="219" t="s">
        <v>159</v>
      </c>
      <c r="B70" s="222"/>
      <c r="C70" s="223"/>
      <c r="L70" s="186"/>
    </row>
    <row r="71" spans="1:12" x14ac:dyDescent="0.25">
      <c r="A71" s="219" t="s">
        <v>160</v>
      </c>
      <c r="B71" s="222"/>
      <c r="C71" s="223"/>
      <c r="L71" s="186"/>
    </row>
    <row r="72" spans="1:12" x14ac:dyDescent="0.25">
      <c r="A72" s="219" t="s">
        <v>161</v>
      </c>
      <c r="B72" s="222"/>
      <c r="C72" s="223"/>
      <c r="L72" s="186"/>
    </row>
    <row r="73" spans="1:12" x14ac:dyDescent="0.25">
      <c r="A73" s="219" t="s">
        <v>162</v>
      </c>
      <c r="B73" s="222"/>
      <c r="C73" s="223"/>
      <c r="L73" s="186"/>
    </row>
    <row r="74" spans="1:12" x14ac:dyDescent="0.25">
      <c r="A74" s="219" t="s">
        <v>163</v>
      </c>
      <c r="B74" s="222"/>
      <c r="C74" s="223"/>
      <c r="L74" s="186"/>
    </row>
    <row r="75" spans="1:12" x14ac:dyDescent="0.25">
      <c r="A75" s="219" t="s">
        <v>164</v>
      </c>
      <c r="B75" s="222"/>
      <c r="C75" s="223"/>
      <c r="L75" s="186"/>
    </row>
    <row r="76" spans="1:12" x14ac:dyDescent="0.25">
      <c r="A76" s="219" t="s">
        <v>165</v>
      </c>
      <c r="B76" s="222"/>
      <c r="C76" s="223"/>
      <c r="L76" s="186"/>
    </row>
    <row r="77" spans="1:12" x14ac:dyDescent="0.25">
      <c r="A77" s="219" t="s">
        <v>166</v>
      </c>
      <c r="B77" s="222"/>
      <c r="C77" s="223"/>
      <c r="L77" s="186"/>
    </row>
    <row r="78" spans="1:12" x14ac:dyDescent="0.25">
      <c r="A78" s="219" t="s">
        <v>167</v>
      </c>
      <c r="B78" s="222"/>
      <c r="C78" s="223"/>
      <c r="L78" s="186"/>
    </row>
    <row r="79" spans="1:12" x14ac:dyDescent="0.25">
      <c r="A79" s="219" t="s">
        <v>168</v>
      </c>
      <c r="B79" s="222"/>
      <c r="C79" s="223"/>
      <c r="L79" s="186"/>
    </row>
    <row r="80" spans="1:12" x14ac:dyDescent="0.25">
      <c r="A80" s="219" t="s">
        <v>169</v>
      </c>
      <c r="B80" s="222"/>
      <c r="C80" s="223"/>
      <c r="L80" s="186"/>
    </row>
    <row r="81" spans="1:12" x14ac:dyDescent="0.25">
      <c r="A81" s="219" t="s">
        <v>170</v>
      </c>
      <c r="B81" s="222"/>
      <c r="C81" s="223"/>
      <c r="L81" s="186"/>
    </row>
    <row r="82" spans="1:12" x14ac:dyDescent="0.25">
      <c r="A82" s="219" t="s">
        <v>171</v>
      </c>
      <c r="B82" s="222"/>
      <c r="C82" s="223"/>
      <c r="L82" s="186"/>
    </row>
    <row r="83" spans="1:12" x14ac:dyDescent="0.25">
      <c r="A83" s="219" t="s">
        <v>172</v>
      </c>
      <c r="B83" s="222"/>
      <c r="C83" s="223"/>
      <c r="L83" s="186"/>
    </row>
    <row r="84" spans="1:12" x14ac:dyDescent="0.25">
      <c r="A84" s="219" t="s">
        <v>173</v>
      </c>
      <c r="B84" s="222"/>
      <c r="C84" s="223"/>
      <c r="L84" s="186"/>
    </row>
    <row r="85" spans="1:12" x14ac:dyDescent="0.25">
      <c r="A85" s="219" t="s">
        <v>174</v>
      </c>
      <c r="B85" s="222"/>
      <c r="C85" s="223"/>
      <c r="L85" s="186"/>
    </row>
    <row r="86" spans="1:12" x14ac:dyDescent="0.25">
      <c r="A86" s="219" t="s">
        <v>175</v>
      </c>
      <c r="B86" s="222"/>
      <c r="C86" s="223"/>
      <c r="L86" s="186"/>
    </row>
    <row r="87" spans="1:12" x14ac:dyDescent="0.25">
      <c r="A87" s="219" t="s">
        <v>176</v>
      </c>
      <c r="B87" s="222"/>
      <c r="C87" s="223"/>
      <c r="L87" s="186"/>
    </row>
    <row r="88" spans="1:12" x14ac:dyDescent="0.25">
      <c r="A88" s="219" t="s">
        <v>177</v>
      </c>
      <c r="B88" s="222"/>
      <c r="C88" s="223"/>
      <c r="L88" s="186"/>
    </row>
    <row r="89" spans="1:12" x14ac:dyDescent="0.25">
      <c r="A89" s="219" t="s">
        <v>178</v>
      </c>
      <c r="B89" s="222"/>
      <c r="C89" s="223"/>
      <c r="L89" s="186"/>
    </row>
    <row r="90" spans="1:12" x14ac:dyDescent="0.25">
      <c r="A90" s="219" t="s">
        <v>179</v>
      </c>
      <c r="B90" s="222"/>
      <c r="C90" s="223"/>
      <c r="L90" s="186"/>
    </row>
    <row r="91" spans="1:12" x14ac:dyDescent="0.25">
      <c r="A91" s="219" t="s">
        <v>180</v>
      </c>
      <c r="B91" s="222"/>
      <c r="C91" s="223"/>
      <c r="L91" s="186"/>
    </row>
    <row r="92" spans="1:12" x14ac:dyDescent="0.25">
      <c r="A92" s="219" t="s">
        <v>181</v>
      </c>
      <c r="B92" s="222"/>
      <c r="C92" s="223"/>
      <c r="L92" s="186"/>
    </row>
    <row r="93" spans="1:12" x14ac:dyDescent="0.25">
      <c r="A93" s="219" t="s">
        <v>182</v>
      </c>
      <c r="B93" s="222"/>
      <c r="C93" s="223"/>
      <c r="L93" s="186"/>
    </row>
    <row r="94" spans="1:12" x14ac:dyDescent="0.25">
      <c r="A94" s="219" t="s">
        <v>183</v>
      </c>
      <c r="B94" s="222"/>
      <c r="C94" s="223"/>
      <c r="L94" s="186"/>
    </row>
    <row r="95" spans="1:12" x14ac:dyDescent="0.25">
      <c r="A95" s="219" t="s">
        <v>184</v>
      </c>
      <c r="B95" s="222"/>
      <c r="C95" s="223"/>
      <c r="L95" s="186"/>
    </row>
    <row r="96" spans="1:12" x14ac:dyDescent="0.25">
      <c r="A96" s="219" t="s">
        <v>185</v>
      </c>
      <c r="B96" s="222"/>
      <c r="C96" s="223"/>
      <c r="L96" s="186"/>
    </row>
    <row r="97" spans="1:12" x14ac:dyDescent="0.25">
      <c r="A97" s="219" t="s">
        <v>186</v>
      </c>
      <c r="B97" s="222"/>
      <c r="C97" s="223"/>
      <c r="L97" s="186"/>
    </row>
    <row r="98" spans="1:12" x14ac:dyDescent="0.25">
      <c r="A98" s="219" t="s">
        <v>187</v>
      </c>
      <c r="B98" s="222"/>
      <c r="C98" s="223"/>
      <c r="L98" s="186"/>
    </row>
    <row r="99" spans="1:12" x14ac:dyDescent="0.25">
      <c r="A99" s="219" t="s">
        <v>188</v>
      </c>
      <c r="B99" s="222"/>
      <c r="C99" s="223"/>
      <c r="L99" s="186"/>
    </row>
    <row r="100" spans="1:12" x14ac:dyDescent="0.25">
      <c r="A100" s="219" t="s">
        <v>189</v>
      </c>
      <c r="B100" s="222"/>
      <c r="C100" s="223"/>
      <c r="L100" s="186"/>
    </row>
    <row r="101" spans="1:12" x14ac:dyDescent="0.25">
      <c r="A101" s="219" t="s">
        <v>190</v>
      </c>
      <c r="B101" s="222"/>
      <c r="C101" s="223"/>
      <c r="L101" s="186"/>
    </row>
    <row r="102" spans="1:12" x14ac:dyDescent="0.25">
      <c r="A102" s="219" t="s">
        <v>191</v>
      </c>
      <c r="B102" s="222"/>
      <c r="C102" s="223"/>
      <c r="L102" s="186"/>
    </row>
    <row r="103" spans="1:12" x14ac:dyDescent="0.25">
      <c r="A103" s="219" t="s">
        <v>192</v>
      </c>
      <c r="B103" s="222"/>
      <c r="C103" s="223"/>
      <c r="L103" s="186"/>
    </row>
    <row r="104" spans="1:12" x14ac:dyDescent="0.25">
      <c r="A104" s="219" t="s">
        <v>193</v>
      </c>
      <c r="B104" s="222"/>
      <c r="C104" s="223"/>
      <c r="L104" s="186"/>
    </row>
    <row r="105" spans="1:12" x14ac:dyDescent="0.25">
      <c r="A105" s="219" t="s">
        <v>194</v>
      </c>
      <c r="B105" s="222"/>
      <c r="C105" s="223"/>
      <c r="L105" s="186"/>
    </row>
    <row r="106" spans="1:12" x14ac:dyDescent="0.25">
      <c r="A106" s="219" t="s">
        <v>195</v>
      </c>
      <c r="B106" s="222"/>
      <c r="C106" s="223"/>
      <c r="L106" s="186"/>
    </row>
    <row r="107" spans="1:12" x14ac:dyDescent="0.25">
      <c r="A107" s="219" t="s">
        <v>196</v>
      </c>
      <c r="B107" s="222"/>
      <c r="C107" s="223"/>
      <c r="L107" s="186"/>
    </row>
    <row r="108" spans="1:12" x14ac:dyDescent="0.25">
      <c r="A108" s="219" t="s">
        <v>197</v>
      </c>
      <c r="B108" s="222"/>
      <c r="C108" s="223"/>
      <c r="L108" s="186"/>
    </row>
    <row r="109" spans="1:12" x14ac:dyDescent="0.25">
      <c r="A109" s="219" t="s">
        <v>198</v>
      </c>
      <c r="B109" s="222"/>
      <c r="C109" s="223"/>
      <c r="L109" s="186"/>
    </row>
    <row r="110" spans="1:12" x14ac:dyDescent="0.25">
      <c r="A110" s="219" t="s">
        <v>199</v>
      </c>
      <c r="B110" s="222"/>
      <c r="C110" s="223"/>
      <c r="L110" s="186"/>
    </row>
    <row r="111" spans="1:12" x14ac:dyDescent="0.25">
      <c r="A111" s="219" t="s">
        <v>200</v>
      </c>
      <c r="B111" s="222"/>
      <c r="C111" s="223"/>
      <c r="L111" s="186"/>
    </row>
    <row r="112" spans="1:12" x14ac:dyDescent="0.25">
      <c r="A112" s="219" t="s">
        <v>201</v>
      </c>
      <c r="B112" s="222"/>
      <c r="C112" s="223"/>
      <c r="L112" s="186"/>
    </row>
    <row r="113" spans="1:12" x14ac:dyDescent="0.25">
      <c r="A113" s="219" t="s">
        <v>202</v>
      </c>
      <c r="B113" s="222"/>
      <c r="C113" s="223"/>
      <c r="L113" s="186"/>
    </row>
    <row r="114" spans="1:12" x14ac:dyDescent="0.25">
      <c r="A114" s="219" t="s">
        <v>203</v>
      </c>
      <c r="B114" s="222"/>
      <c r="C114" s="223"/>
      <c r="L114" s="186"/>
    </row>
    <row r="115" spans="1:12" x14ac:dyDescent="0.25">
      <c r="A115" s="219" t="s">
        <v>204</v>
      </c>
      <c r="B115" s="222"/>
      <c r="C115" s="223"/>
      <c r="L115" s="186"/>
    </row>
    <row r="116" spans="1:12" x14ac:dyDescent="0.25">
      <c r="A116" s="219" t="s">
        <v>205</v>
      </c>
      <c r="B116" s="222"/>
      <c r="C116" s="223"/>
      <c r="L116" s="186"/>
    </row>
    <row r="117" spans="1:12" x14ac:dyDescent="0.25">
      <c r="A117" s="219" t="s">
        <v>206</v>
      </c>
      <c r="B117" s="222"/>
      <c r="C117" s="223"/>
      <c r="L117" s="186"/>
    </row>
    <row r="118" spans="1:12" x14ac:dyDescent="0.25">
      <c r="A118" s="219" t="s">
        <v>207</v>
      </c>
      <c r="B118" s="222"/>
      <c r="C118" s="223"/>
      <c r="L118" s="186"/>
    </row>
    <row r="119" spans="1:12" x14ac:dyDescent="0.25">
      <c r="A119" s="219" t="s">
        <v>208</v>
      </c>
      <c r="B119" s="222"/>
      <c r="C119" s="223"/>
      <c r="L119" s="186"/>
    </row>
    <row r="120" spans="1:12" x14ac:dyDescent="0.25">
      <c r="A120" s="219" t="s">
        <v>209</v>
      </c>
      <c r="B120" s="222"/>
      <c r="C120" s="223"/>
      <c r="L120" s="186"/>
    </row>
    <row r="121" spans="1:12" x14ac:dyDescent="0.25">
      <c r="A121" s="219" t="s">
        <v>210</v>
      </c>
      <c r="B121" s="222"/>
      <c r="C121" s="223"/>
      <c r="L121" s="186"/>
    </row>
    <row r="122" spans="1:12" x14ac:dyDescent="0.25">
      <c r="A122" s="219" t="s">
        <v>211</v>
      </c>
      <c r="B122" s="222"/>
      <c r="C122" s="223"/>
      <c r="L122" s="186"/>
    </row>
    <row r="123" spans="1:12" x14ac:dyDescent="0.25">
      <c r="A123" s="219" t="s">
        <v>212</v>
      </c>
      <c r="B123" s="222"/>
      <c r="C123" s="223"/>
      <c r="L123" s="186"/>
    </row>
    <row r="124" spans="1:12" x14ac:dyDescent="0.25">
      <c r="A124" s="219" t="s">
        <v>213</v>
      </c>
      <c r="B124" s="222"/>
      <c r="C124" s="223"/>
      <c r="L124" s="186"/>
    </row>
    <row r="125" spans="1:12" x14ac:dyDescent="0.25">
      <c r="A125" s="219" t="s">
        <v>214</v>
      </c>
      <c r="B125" s="222"/>
      <c r="C125" s="223"/>
      <c r="L125" s="186"/>
    </row>
    <row r="126" spans="1:12" x14ac:dyDescent="0.25">
      <c r="A126" s="219" t="s">
        <v>215</v>
      </c>
      <c r="B126" s="222"/>
      <c r="C126" s="223"/>
      <c r="L126" s="186"/>
    </row>
    <row r="127" spans="1:12" x14ac:dyDescent="0.25">
      <c r="A127" s="219" t="s">
        <v>216</v>
      </c>
      <c r="B127" s="222"/>
      <c r="C127" s="223"/>
      <c r="L127" s="186"/>
    </row>
    <row r="128" spans="1:12" ht="13.8" thickBot="1" x14ac:dyDescent="0.3">
      <c r="A128" s="227" t="s">
        <v>217</v>
      </c>
      <c r="B128" s="228"/>
      <c r="C128" s="229"/>
    </row>
  </sheetData>
  <sheetProtection password="87CD" sheet="1" formatCells="0" formatColumns="0" formatRows="0" insertColumns="0" insertRows="0" insertHyperlinks="0" deleteColumns="0" deleteRows="0" sort="0" autoFilter="0" pivotTables="0"/>
  <mergeCells count="1">
    <mergeCell ref="E14:F14"/>
  </mergeCells>
  <dataValidations count="1">
    <dataValidation type="decimal" allowBlank="1" showInputMessage="1" showErrorMessage="1" sqref="F16 F23" xr:uid="{00000000-0002-0000-1A00-000000000000}">
      <formula1>0</formula1>
      <formula2>1</formula2>
    </dataValidation>
  </dataValidations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32"/>
  <sheetViews>
    <sheetView zoomScale="85" workbookViewId="0">
      <selection activeCell="P32" sqref="P32"/>
    </sheetView>
  </sheetViews>
  <sheetFormatPr defaultColWidth="9.109375" defaultRowHeight="13.2" x14ac:dyDescent="0.25"/>
  <cols>
    <col min="1" max="1" width="4" style="230" customWidth="1"/>
    <col min="2" max="16384" width="9.109375" style="230"/>
  </cols>
  <sheetData>
    <row r="1" spans="1:14" ht="21" x14ac:dyDescent="0.4">
      <c r="A1" s="148"/>
      <c r="B1" s="148"/>
      <c r="C1" s="275" t="str">
        <f>'13.15a'!E12</f>
        <v>Earnings = 1.852 + 0.084 (Sales)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148"/>
    </row>
    <row r="2" spans="1:14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x14ac:dyDescent="0.25">
      <c r="A7" s="276" t="str">
        <f>'13.15a'!C3</f>
        <v>Earnings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x14ac:dyDescent="0.25">
      <c r="A8" s="276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25">
      <c r="A9" s="276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x14ac:dyDescent="0.25">
      <c r="A10" s="276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x14ac:dyDescent="0.25">
      <c r="A11" s="276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x14ac:dyDescent="0.25">
      <c r="A12" s="276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x14ac:dyDescent="0.25">
      <c r="A13" s="276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x14ac:dyDescent="0.25">
      <c r="A14" s="276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x14ac:dyDescent="0.25">
      <c r="A15" s="276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x14ac:dyDescent="0.25">
      <c r="A16" s="276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x14ac:dyDescent="0.25">
      <c r="A17" s="276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x14ac:dyDescent="0.25">
      <c r="A18" s="276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x14ac:dyDescent="0.25">
      <c r="A19" s="276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  <row r="20" spans="1:14" x14ac:dyDescent="0.25">
      <c r="A20" s="276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</row>
    <row r="21" spans="1:14" x14ac:dyDescent="0.25">
      <c r="A21" s="276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x14ac:dyDescent="0.25">
      <c r="A22" s="276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x14ac:dyDescent="0.25">
      <c r="A23" s="276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14" x14ac:dyDescent="0.25">
      <c r="A24" s="276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1:14" x14ac:dyDescent="0.25">
      <c r="A25" s="276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x14ac:dyDescent="0.25">
      <c r="A26" s="276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ht="51.75" customHeight="1" x14ac:dyDescent="0.25">
      <c r="A27" s="276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 x14ac:dyDescent="0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x14ac:dyDescent="0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 x14ac:dyDescent="0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ht="20.25" customHeight="1" thickBot="1" x14ac:dyDescent="0.45">
      <c r="A31" s="148"/>
      <c r="B31" s="148"/>
      <c r="C31" s="277" t="str">
        <f>'13.15a'!B3</f>
        <v>Sales</v>
      </c>
      <c r="D31" s="277"/>
      <c r="E31" s="277"/>
      <c r="F31" s="277"/>
      <c r="G31" s="277"/>
      <c r="H31" s="277"/>
      <c r="I31" s="277"/>
      <c r="J31" s="277"/>
      <c r="K31" s="277"/>
      <c r="L31" s="277"/>
      <c r="M31" s="148"/>
      <c r="N31" s="148"/>
    </row>
    <row r="32" spans="1:14" ht="21.6" thickBot="1" x14ac:dyDescent="0.45">
      <c r="A32" s="148"/>
      <c r="B32" s="148"/>
      <c r="C32" s="231" t="str">
        <f>"r = "&amp;ROUND('13.15a'!F5,3)</f>
        <v>r = 0.673</v>
      </c>
      <c r="D32" s="232"/>
      <c r="E32" s="148"/>
      <c r="F32" s="148"/>
      <c r="G32" s="148"/>
      <c r="H32" s="148"/>
      <c r="I32" s="148"/>
      <c r="J32" s="231" t="str">
        <f>"r-squared = "&amp;ROUND('13.15a'!F6,3)</f>
        <v>r-squared = 0.454</v>
      </c>
      <c r="K32" s="233"/>
      <c r="L32" s="232"/>
      <c r="M32" s="148"/>
      <c r="N32" s="148"/>
    </row>
  </sheetData>
  <sheetProtection password="87CD" sheet="1" objects="1" scenarios="1" formatCells="0" formatColumns="0" formatRows="0" insertColumns="0" insertRows="0" insertHyperlinks="0"/>
  <mergeCells count="3">
    <mergeCell ref="C1:M1"/>
    <mergeCell ref="A7:A27"/>
    <mergeCell ref="C31:L31"/>
  </mergeCells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workbookViewId="0">
      <selection activeCell="A17" sqref="A17"/>
    </sheetView>
  </sheetViews>
  <sheetFormatPr defaultColWidth="9.109375" defaultRowHeight="13.2" x14ac:dyDescent="0.25"/>
  <cols>
    <col min="1" max="1" width="25.6640625" style="2" customWidth="1"/>
    <col min="2" max="2" width="17.44140625" style="2" customWidth="1"/>
    <col min="3" max="3" width="17.33203125" style="2" customWidth="1"/>
    <col min="4" max="4" width="12.33203125" style="2" customWidth="1"/>
    <col min="5" max="5" width="30.88671875" style="2" bestFit="1" customWidth="1"/>
    <col min="6" max="16384" width="9.109375" style="2"/>
  </cols>
  <sheetData>
    <row r="1" spans="1:5" ht="21" x14ac:dyDescent="0.4">
      <c r="A1" s="257" t="s">
        <v>221</v>
      </c>
      <c r="B1" s="256"/>
      <c r="C1" s="256"/>
      <c r="D1" s="256"/>
      <c r="E1" s="1"/>
    </row>
    <row r="2" spans="1:5" ht="11.85" customHeight="1" x14ac:dyDescent="0.25"/>
    <row r="3" spans="1:5" x14ac:dyDescent="0.25">
      <c r="A3" s="255" t="s">
        <v>220</v>
      </c>
      <c r="B3" s="37">
        <v>80</v>
      </c>
      <c r="C3" s="253"/>
      <c r="D3" s="253"/>
      <c r="E3" s="253"/>
    </row>
    <row r="4" spans="1:5" x14ac:dyDescent="0.25">
      <c r="A4" s="254" t="s">
        <v>0</v>
      </c>
      <c r="B4" s="37">
        <v>0.01</v>
      </c>
      <c r="C4" s="253"/>
      <c r="D4" s="253"/>
      <c r="E4" s="253"/>
    </row>
    <row r="5" spans="1:5" x14ac:dyDescent="0.25">
      <c r="A5" s="255" t="s">
        <v>1</v>
      </c>
      <c r="B5" s="37">
        <v>35</v>
      </c>
      <c r="C5" s="253"/>
      <c r="D5" s="253"/>
      <c r="E5" s="253"/>
    </row>
    <row r="6" spans="1:5" x14ac:dyDescent="0.25">
      <c r="A6" s="255" t="s">
        <v>2</v>
      </c>
      <c r="B6" s="37">
        <v>84.85</v>
      </c>
      <c r="C6" s="253"/>
      <c r="D6" s="253"/>
      <c r="E6" s="253"/>
    </row>
    <row r="7" spans="1:5" x14ac:dyDescent="0.25">
      <c r="A7" s="255" t="s">
        <v>219</v>
      </c>
      <c r="B7" s="37">
        <v>11.38</v>
      </c>
      <c r="C7" s="253"/>
      <c r="D7" s="253"/>
      <c r="E7" s="253"/>
    </row>
    <row r="8" spans="1:5" x14ac:dyDescent="0.25">
      <c r="E8" s="3"/>
    </row>
    <row r="9" spans="1:5" x14ac:dyDescent="0.25">
      <c r="A9" s="252" t="s">
        <v>8</v>
      </c>
      <c r="B9" s="251">
        <f>(B6-B3)/(B7/SQRT(B5))</f>
        <v>2.5213521043965819</v>
      </c>
      <c r="E9" s="3"/>
    </row>
    <row r="10" spans="1:5" x14ac:dyDescent="0.25">
      <c r="E10" s="3"/>
    </row>
    <row r="11" spans="1:5" ht="13.8" thickBot="1" x14ac:dyDescent="0.3">
      <c r="E11" s="3"/>
    </row>
    <row r="12" spans="1:5" x14ac:dyDescent="0.25">
      <c r="A12" s="250" t="s">
        <v>218</v>
      </c>
      <c r="B12" s="249" t="s">
        <v>9</v>
      </c>
      <c r="C12" s="249" t="s">
        <v>10</v>
      </c>
      <c r="D12" s="248" t="s">
        <v>12</v>
      </c>
      <c r="E12" s="247" t="s">
        <v>5</v>
      </c>
    </row>
    <row r="13" spans="1:5" x14ac:dyDescent="0.25">
      <c r="A13" s="246"/>
      <c r="B13"/>
      <c r="C13"/>
      <c r="D13" s="245"/>
      <c r="E13" s="244"/>
    </row>
    <row r="14" spans="1:5" x14ac:dyDescent="0.25">
      <c r="A14" s="243" t="s">
        <v>4</v>
      </c>
      <c r="B14" s="242" t="s">
        <v>11</v>
      </c>
      <c r="C14" s="242">
        <f>IF($B$5&gt;29,NORMSINV(1-$B$4),TINV(2*$B$4,$B$5-1))</f>
        <v>2.3263478740408408</v>
      </c>
      <c r="D14" s="242">
        <f>IF(B5&lt;30,IF(B9&lt;0,1-TDIST(ABS(B9),B5-1,1),TDIST(ABS(B9),B5-1,1)),1-NORMSDIST(B9))</f>
        <v>5.8452403617959003E-3</v>
      </c>
      <c r="E14" s="241" t="str">
        <f>IF(D14&lt;$B$4,"Reject the null hypothesis","Do not reject the null hypothesis")</f>
        <v>Reject the null hypothesis</v>
      </c>
    </row>
    <row r="15" spans="1:5" ht="13.8" thickBot="1" x14ac:dyDescent="0.3">
      <c r="A15" s="240" t="str">
        <f>"HA:  m &gt; "&amp;B3</f>
        <v>HA:  m &gt; 80</v>
      </c>
      <c r="B15" s="239"/>
      <c r="C15" s="239"/>
      <c r="D15" s="259"/>
      <c r="E15" s="258"/>
    </row>
    <row r="17" spans="1:5" x14ac:dyDescent="0.25">
      <c r="A17" s="236" t="s">
        <v>230</v>
      </c>
      <c r="B17" s="236"/>
      <c r="C17" s="236"/>
      <c r="D17" s="236"/>
      <c r="E17" s="264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>
      <selection activeCell="A18" sqref="A18"/>
    </sheetView>
  </sheetViews>
  <sheetFormatPr defaultColWidth="9.109375" defaultRowHeight="13.2" x14ac:dyDescent="0.25"/>
  <cols>
    <col min="1" max="1" width="25.6640625" style="2" customWidth="1"/>
    <col min="2" max="2" width="18.6640625" style="2" customWidth="1"/>
    <col min="3" max="3" width="19.44140625" style="2" customWidth="1"/>
    <col min="4" max="4" width="11.33203125" style="2" customWidth="1"/>
    <col min="5" max="5" width="30.88671875" style="2" bestFit="1" customWidth="1"/>
    <col min="6" max="16384" width="9.109375" style="2"/>
  </cols>
  <sheetData>
    <row r="1" spans="1:6" ht="21" x14ac:dyDescent="0.4">
      <c r="A1" s="257" t="s">
        <v>226</v>
      </c>
      <c r="B1" s="256"/>
      <c r="C1" s="261"/>
      <c r="D1" s="261"/>
    </row>
    <row r="3" spans="1:6" x14ac:dyDescent="0.25">
      <c r="A3" s="254" t="s">
        <v>225</v>
      </c>
      <c r="B3" s="37">
        <v>0.52</v>
      </c>
    </row>
    <row r="4" spans="1:6" x14ac:dyDescent="0.25">
      <c r="A4" s="254" t="s">
        <v>0</v>
      </c>
      <c r="B4" s="37">
        <v>0.01</v>
      </c>
    </row>
    <row r="5" spans="1:6" x14ac:dyDescent="0.25">
      <c r="A5" s="254" t="s">
        <v>6</v>
      </c>
      <c r="B5" s="37">
        <v>170</v>
      </c>
      <c r="F5" s="3"/>
    </row>
    <row r="6" spans="1:6" x14ac:dyDescent="0.25">
      <c r="A6" s="263" t="s">
        <v>1</v>
      </c>
      <c r="B6" s="262">
        <v>300</v>
      </c>
    </row>
    <row r="8" spans="1:6" x14ac:dyDescent="0.25">
      <c r="A8" s="252" t="s">
        <v>224</v>
      </c>
      <c r="B8" s="251">
        <f>B5/B6</f>
        <v>0.56666666666666665</v>
      </c>
      <c r="C8" s="252" t="s">
        <v>223</v>
      </c>
      <c r="D8" s="252"/>
      <c r="E8" s="261"/>
    </row>
    <row r="10" spans="1:6" x14ac:dyDescent="0.25">
      <c r="A10" s="252" t="s">
        <v>7</v>
      </c>
      <c r="B10" s="251">
        <f>(B8-B3)/(SQRT(B3*(1-B3)/B6))</f>
        <v>1.6178755723235838</v>
      </c>
    </row>
    <row r="12" spans="1:6" ht="13.8" thickBot="1" x14ac:dyDescent="0.3"/>
    <row r="13" spans="1:6" x14ac:dyDescent="0.25">
      <c r="A13" s="250" t="s">
        <v>218</v>
      </c>
      <c r="B13" s="249" t="s">
        <v>9</v>
      </c>
      <c r="C13" s="249" t="s">
        <v>10</v>
      </c>
      <c r="D13" s="248" t="s">
        <v>12</v>
      </c>
      <c r="E13" s="247" t="s">
        <v>5</v>
      </c>
    </row>
    <row r="14" spans="1:6" x14ac:dyDescent="0.25">
      <c r="A14" s="246"/>
      <c r="B14"/>
      <c r="C14"/>
      <c r="D14" s="245"/>
      <c r="E14" s="244"/>
    </row>
    <row r="15" spans="1:6" x14ac:dyDescent="0.25">
      <c r="A15" s="243" t="s">
        <v>4</v>
      </c>
      <c r="B15" s="242" t="s">
        <v>11</v>
      </c>
      <c r="C15" s="242">
        <f>NORMSINV(1-$B$4)</f>
        <v>2.3263478740408408</v>
      </c>
      <c r="D15" s="242">
        <f>1-NORMSDIST(B10)</f>
        <v>5.2844707814501457E-2</v>
      </c>
      <c r="E15" s="241" t="str">
        <f>IF(D15&lt;$B$4,"Reject the null hypothesis","Do not reject the null hypothesis")</f>
        <v>Do not reject the null hypothesis</v>
      </c>
    </row>
    <row r="16" spans="1:6" ht="13.8" thickBot="1" x14ac:dyDescent="0.3">
      <c r="A16" s="260" t="str">
        <f>"HA:  P &gt; "&amp;B3</f>
        <v>HA:  P &gt; 0.52</v>
      </c>
      <c r="B16" s="239"/>
      <c r="C16" s="239"/>
      <c r="D16" s="238"/>
      <c r="E16" s="237"/>
    </row>
    <row r="18" spans="1:5" x14ac:dyDescent="0.25">
      <c r="A18" s="236" t="s">
        <v>231</v>
      </c>
      <c r="B18" s="236"/>
      <c r="C18" s="236"/>
      <c r="D18" s="264"/>
      <c r="E18" s="264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workbookViewId="0">
      <selection activeCell="A19" sqref="A19"/>
    </sheetView>
  </sheetViews>
  <sheetFormatPr defaultColWidth="9.109375" defaultRowHeight="13.2" x14ac:dyDescent="0.25"/>
  <cols>
    <col min="1" max="1" width="25.6640625" style="2" customWidth="1"/>
    <col min="2" max="2" width="18.6640625" style="2" customWidth="1"/>
    <col min="3" max="3" width="19.44140625" style="2" customWidth="1"/>
    <col min="4" max="4" width="11.33203125" style="2" customWidth="1"/>
    <col min="5" max="5" width="30.88671875" style="2" bestFit="1" customWidth="1"/>
    <col min="6" max="16384" width="9.109375" style="2"/>
  </cols>
  <sheetData>
    <row r="1" spans="1:6" ht="21" x14ac:dyDescent="0.4">
      <c r="A1" s="257" t="s">
        <v>226</v>
      </c>
      <c r="B1" s="256"/>
      <c r="C1" s="261"/>
      <c r="D1" s="261"/>
    </row>
    <row r="3" spans="1:6" x14ac:dyDescent="0.25">
      <c r="A3" s="254" t="s">
        <v>225</v>
      </c>
      <c r="B3" s="37">
        <v>0.33</v>
      </c>
    </row>
    <row r="4" spans="1:6" x14ac:dyDescent="0.25">
      <c r="A4" s="254" t="s">
        <v>0</v>
      </c>
      <c r="B4" s="37">
        <v>0.02</v>
      </c>
    </row>
    <row r="5" spans="1:6" x14ac:dyDescent="0.25">
      <c r="A5" s="254" t="s">
        <v>6</v>
      </c>
      <c r="B5" s="37">
        <v>80</v>
      </c>
      <c r="F5" s="3"/>
    </row>
    <row r="6" spans="1:6" x14ac:dyDescent="0.25">
      <c r="A6" s="263" t="s">
        <v>1</v>
      </c>
      <c r="B6" s="262">
        <v>200</v>
      </c>
    </row>
    <row r="8" spans="1:6" x14ac:dyDescent="0.25">
      <c r="A8" s="252" t="s">
        <v>224</v>
      </c>
      <c r="B8" s="251">
        <f>B5/B6</f>
        <v>0.4</v>
      </c>
      <c r="C8" s="252" t="s">
        <v>223</v>
      </c>
      <c r="D8" s="252"/>
      <c r="E8" s="261"/>
    </row>
    <row r="10" spans="1:6" x14ac:dyDescent="0.25">
      <c r="A10" s="252" t="s">
        <v>7</v>
      </c>
      <c r="B10" s="251">
        <f>(B8-B3)/(SQRT(B3*(1-B3)/B6))</f>
        <v>2.1053226681107935</v>
      </c>
    </row>
    <row r="12" spans="1:6" ht="13.8" thickBot="1" x14ac:dyDescent="0.3"/>
    <row r="13" spans="1:6" x14ac:dyDescent="0.25">
      <c r="A13" s="250" t="s">
        <v>218</v>
      </c>
      <c r="B13" s="249" t="s">
        <v>9</v>
      </c>
      <c r="C13" s="249" t="s">
        <v>10</v>
      </c>
      <c r="D13" s="248" t="s">
        <v>12</v>
      </c>
      <c r="E13" s="247" t="s">
        <v>5</v>
      </c>
    </row>
    <row r="14" spans="1:6" x14ac:dyDescent="0.25">
      <c r="A14" s="246"/>
      <c r="B14"/>
      <c r="C14"/>
      <c r="D14" s="245"/>
      <c r="E14" s="244"/>
    </row>
    <row r="15" spans="1:6" x14ac:dyDescent="0.25">
      <c r="A15" s="243" t="s">
        <v>4</v>
      </c>
      <c r="B15" s="242" t="s">
        <v>11</v>
      </c>
      <c r="C15" s="242">
        <f>NORMSINV(1-$B$4)</f>
        <v>2.0537489106318221</v>
      </c>
      <c r="D15" s="242">
        <f>1-NORMSDIST(B10)</f>
        <v>1.7631615108761101E-2</v>
      </c>
      <c r="E15" s="241" t="str">
        <f>IF(D15&lt;$B$4,"Reject the null hypothesis","Do not reject the null hypothesis")</f>
        <v>Reject the null hypothesis</v>
      </c>
    </row>
    <row r="16" spans="1:6" ht="13.8" thickBot="1" x14ac:dyDescent="0.3">
      <c r="A16" s="260" t="str">
        <f>"HA:  P &gt; "&amp;B3</f>
        <v>HA:  P &gt; 0.33</v>
      </c>
      <c r="B16" s="239"/>
      <c r="C16" s="239"/>
      <c r="D16" s="238"/>
      <c r="E16" s="237"/>
    </row>
    <row r="18" spans="1:5" x14ac:dyDescent="0.25">
      <c r="A18" s="236" t="s">
        <v>232</v>
      </c>
      <c r="B18" s="236"/>
      <c r="C18" s="236"/>
      <c r="D18" s="264"/>
      <c r="E18" s="264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>
      <selection activeCell="D21" sqref="D21"/>
    </sheetView>
  </sheetViews>
  <sheetFormatPr defaultColWidth="9.109375" defaultRowHeight="13.2" x14ac:dyDescent="0.25"/>
  <cols>
    <col min="1" max="1" width="25.6640625" style="2" customWidth="1"/>
    <col min="2" max="2" width="18.6640625" style="2" customWidth="1"/>
    <col min="3" max="3" width="19.44140625" style="2" customWidth="1"/>
    <col min="4" max="4" width="11.33203125" style="2" customWidth="1"/>
    <col min="5" max="5" width="30.88671875" style="2" bestFit="1" customWidth="1"/>
    <col min="6" max="16384" width="9.109375" style="2"/>
  </cols>
  <sheetData>
    <row r="1" spans="1:6" ht="21" x14ac:dyDescent="0.4">
      <c r="A1" s="257" t="s">
        <v>226</v>
      </c>
      <c r="B1" s="256"/>
      <c r="C1" s="261"/>
      <c r="D1" s="261"/>
    </row>
    <row r="3" spans="1:6" x14ac:dyDescent="0.25">
      <c r="A3" s="254" t="s">
        <v>225</v>
      </c>
      <c r="B3" s="37">
        <v>0.9</v>
      </c>
    </row>
    <row r="4" spans="1:6" x14ac:dyDescent="0.25">
      <c r="A4" s="254" t="s">
        <v>0</v>
      </c>
      <c r="B4" s="37">
        <v>0.1</v>
      </c>
    </row>
    <row r="5" spans="1:6" x14ac:dyDescent="0.25">
      <c r="A5" s="254" t="s">
        <v>6</v>
      </c>
      <c r="B5" s="37">
        <v>82</v>
      </c>
      <c r="F5" s="3"/>
    </row>
    <row r="6" spans="1:6" x14ac:dyDescent="0.25">
      <c r="A6" s="263" t="s">
        <v>1</v>
      </c>
      <c r="B6" s="262">
        <v>100</v>
      </c>
    </row>
    <row r="8" spans="1:6" x14ac:dyDescent="0.25">
      <c r="A8" s="252" t="s">
        <v>224</v>
      </c>
      <c r="B8" s="251">
        <f>B5/B6</f>
        <v>0.82</v>
      </c>
      <c r="C8" s="252" t="s">
        <v>223</v>
      </c>
      <c r="D8" s="252"/>
      <c r="E8" s="261"/>
    </row>
    <row r="10" spans="1:6" x14ac:dyDescent="0.25">
      <c r="A10" s="252" t="s">
        <v>7</v>
      </c>
      <c r="B10" s="251">
        <f>(B8-B3)/(SQRT(B3*(1-B3)/B6))</f>
        <v>-2.6666666666666692</v>
      </c>
    </row>
    <row r="12" spans="1:6" ht="13.8" thickBot="1" x14ac:dyDescent="0.3"/>
    <row r="13" spans="1:6" x14ac:dyDescent="0.25">
      <c r="A13" s="250" t="s">
        <v>218</v>
      </c>
      <c r="B13" s="249" t="s">
        <v>9</v>
      </c>
      <c r="C13" s="249" t="s">
        <v>10</v>
      </c>
      <c r="D13" s="248" t="s">
        <v>12</v>
      </c>
      <c r="E13" s="247" t="s">
        <v>5</v>
      </c>
    </row>
    <row r="14" spans="1:6" x14ac:dyDescent="0.25">
      <c r="A14" s="246"/>
      <c r="B14"/>
      <c r="C14"/>
      <c r="D14" s="245"/>
      <c r="E14" s="244"/>
    </row>
    <row r="15" spans="1:6" x14ac:dyDescent="0.25">
      <c r="A15" s="243" t="s">
        <v>222</v>
      </c>
      <c r="B15" s="242">
        <f>IF($B$5&gt;29,NORMSINV($B$4),-TINV(2*$B$4,$B$5-1))</f>
        <v>-1.2815515655446006</v>
      </c>
      <c r="C15" s="242" t="s">
        <v>11</v>
      </c>
      <c r="D15" s="242">
        <f>IF(B6&lt;30,IF(B10&lt;0,TDIST(ABS(B10),B6-1,1),1-TDIST(ABS(B10),B6-1,1)),NORMSDIST(B10))</f>
        <v>3.8303805675897031E-3</v>
      </c>
      <c r="E15" s="241" t="str">
        <f>IF(D15&lt;$B$4,"Reject the null hypothesis","Do not reject the null hypothesis")</f>
        <v>Reject the null hypothesis</v>
      </c>
    </row>
    <row r="16" spans="1:6" ht="13.8" thickBot="1" x14ac:dyDescent="0.3">
      <c r="A16" s="260" t="str">
        <f>"HA:  P &lt; "&amp;B3</f>
        <v>HA:  P &lt; 0.9</v>
      </c>
      <c r="B16" s="239"/>
      <c r="C16" s="239"/>
      <c r="D16" s="238"/>
      <c r="E16" s="237"/>
    </row>
    <row r="18" spans="1:5" x14ac:dyDescent="0.25">
      <c r="A18" s="236" t="s">
        <v>233</v>
      </c>
      <c r="B18" s="236"/>
      <c r="C18" s="236"/>
      <c r="D18" s="264"/>
      <c r="E18" s="264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B21" sqref="B21"/>
    </sheetView>
  </sheetViews>
  <sheetFormatPr defaultColWidth="9.109375" defaultRowHeight="13.2" x14ac:dyDescent="0.25"/>
  <cols>
    <col min="1" max="1" width="25.6640625" style="2" customWidth="1"/>
    <col min="2" max="2" width="18.6640625" style="2" customWidth="1"/>
    <col min="3" max="3" width="19.44140625" style="2" customWidth="1"/>
    <col min="4" max="4" width="11.33203125" style="2" customWidth="1"/>
    <col min="5" max="5" width="30.88671875" style="2" bestFit="1" customWidth="1"/>
    <col min="6" max="16384" width="9.109375" style="2"/>
  </cols>
  <sheetData>
    <row r="1" spans="1:6" ht="21" x14ac:dyDescent="0.4">
      <c r="A1" s="257" t="s">
        <v>226</v>
      </c>
      <c r="B1" s="256"/>
      <c r="C1" s="261"/>
      <c r="D1" s="261"/>
    </row>
    <row r="3" spans="1:6" x14ac:dyDescent="0.25">
      <c r="A3" s="254" t="s">
        <v>225</v>
      </c>
      <c r="B3" s="37">
        <v>0.5</v>
      </c>
    </row>
    <row r="4" spans="1:6" x14ac:dyDescent="0.25">
      <c r="A4" s="254" t="s">
        <v>0</v>
      </c>
      <c r="B4" s="37">
        <v>0.05</v>
      </c>
    </row>
    <row r="5" spans="1:6" x14ac:dyDescent="0.25">
      <c r="A5" s="254" t="s">
        <v>6</v>
      </c>
      <c r="B5" s="37">
        <v>48</v>
      </c>
      <c r="F5" s="3"/>
    </row>
    <row r="6" spans="1:6" x14ac:dyDescent="0.25">
      <c r="A6" s="263" t="s">
        <v>1</v>
      </c>
      <c r="B6" s="262">
        <v>100</v>
      </c>
    </row>
    <row r="8" spans="1:6" x14ac:dyDescent="0.25">
      <c r="A8" s="252" t="s">
        <v>224</v>
      </c>
      <c r="B8" s="251">
        <f>B5/B6</f>
        <v>0.48</v>
      </c>
      <c r="C8" s="252" t="s">
        <v>223</v>
      </c>
      <c r="D8" s="252"/>
      <c r="E8" s="261"/>
    </row>
    <row r="10" spans="1:6" x14ac:dyDescent="0.25">
      <c r="A10" s="252" t="s">
        <v>7</v>
      </c>
      <c r="B10" s="251">
        <f>(B8-B3)/(SQRT(B3*(1-B3)/B6))</f>
        <v>-0.40000000000000036</v>
      </c>
    </row>
    <row r="12" spans="1:6" ht="13.8" thickBot="1" x14ac:dyDescent="0.3"/>
    <row r="13" spans="1:6" x14ac:dyDescent="0.25">
      <c r="A13" s="250" t="s">
        <v>218</v>
      </c>
      <c r="B13" s="249" t="s">
        <v>9</v>
      </c>
      <c r="C13" s="249" t="s">
        <v>10</v>
      </c>
      <c r="D13" s="248" t="s">
        <v>12</v>
      </c>
      <c r="E13" s="247" t="s">
        <v>5</v>
      </c>
    </row>
    <row r="14" spans="1:6" x14ac:dyDescent="0.25">
      <c r="A14" s="246"/>
      <c r="B14"/>
      <c r="C14"/>
      <c r="D14" s="245"/>
      <c r="E14" s="244"/>
    </row>
    <row r="15" spans="1:6" x14ac:dyDescent="0.25">
      <c r="A15" s="243" t="s">
        <v>222</v>
      </c>
      <c r="B15" s="242">
        <f>IF($B$5&gt;29,NORMSINV($B$4),-TINV(2*$B$4,$B$5-1))</f>
        <v>-1.6448536269514726</v>
      </c>
      <c r="C15" s="242" t="s">
        <v>11</v>
      </c>
      <c r="D15" s="242">
        <f>IF(B6&lt;30,IF(B10&lt;0,TDIST(ABS(B10),B6-1,1),1-TDIST(ABS(B10),B6-1,1)),NORMSDIST(B10))</f>
        <v>0.34457825838967565</v>
      </c>
      <c r="E15" s="241" t="str">
        <f>IF(D15&lt;$B$4,"Reject the null hypothesis","Do not reject the null hypothesis")</f>
        <v>Do not reject the null hypothesis</v>
      </c>
    </row>
    <row r="16" spans="1:6" ht="13.8" thickBot="1" x14ac:dyDescent="0.3">
      <c r="A16" s="260" t="str">
        <f>"HA:  P &lt; "&amp;B3</f>
        <v>HA:  P &lt; 0.5</v>
      </c>
      <c r="B16" s="239"/>
      <c r="C16" s="239"/>
      <c r="D16" s="238"/>
      <c r="E16" s="237"/>
    </row>
    <row r="18" spans="1:5" x14ac:dyDescent="0.25">
      <c r="A18" s="236" t="s">
        <v>234</v>
      </c>
      <c r="B18" s="236"/>
      <c r="C18" s="236"/>
      <c r="D18" s="264"/>
      <c r="E18" s="264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C416E-63F9-4D66-B46F-7A4B11FCDA17}">
  <dimension ref="A1:E17"/>
  <sheetViews>
    <sheetView workbookViewId="0">
      <selection activeCell="A18" sqref="A18"/>
    </sheetView>
  </sheetViews>
  <sheetFormatPr defaultColWidth="9.109375" defaultRowHeight="13.2" x14ac:dyDescent="0.25"/>
  <cols>
    <col min="1" max="1" width="25.6640625" style="2" customWidth="1"/>
    <col min="2" max="2" width="17.44140625" style="2" customWidth="1"/>
    <col min="3" max="3" width="17.33203125" style="2" customWidth="1"/>
    <col min="4" max="4" width="12.33203125" style="2" customWidth="1"/>
    <col min="5" max="5" width="30.88671875" style="2" bestFit="1" customWidth="1"/>
    <col min="6" max="16384" width="9.109375" style="2"/>
  </cols>
  <sheetData>
    <row r="1" spans="1:5" ht="21" x14ac:dyDescent="0.4">
      <c r="A1" s="257" t="s">
        <v>221</v>
      </c>
      <c r="B1" s="256"/>
      <c r="C1" s="256"/>
      <c r="D1" s="256"/>
      <c r="E1" s="1"/>
    </row>
    <row r="2" spans="1:5" ht="11.85" customHeight="1" x14ac:dyDescent="0.25"/>
    <row r="3" spans="1:5" x14ac:dyDescent="0.25">
      <c r="A3" s="255" t="s">
        <v>220</v>
      </c>
      <c r="B3" s="37">
        <v>10</v>
      </c>
      <c r="C3" s="253"/>
      <c r="D3" s="253"/>
      <c r="E3" s="253"/>
    </row>
    <row r="4" spans="1:5" x14ac:dyDescent="0.25">
      <c r="A4" s="254" t="s">
        <v>0</v>
      </c>
      <c r="B4" s="37">
        <v>0.05</v>
      </c>
      <c r="C4" s="253"/>
      <c r="D4" s="253"/>
      <c r="E4" s="253"/>
    </row>
    <row r="5" spans="1:5" x14ac:dyDescent="0.25">
      <c r="A5" s="255" t="s">
        <v>1</v>
      </c>
      <c r="B5" s="37">
        <v>50</v>
      </c>
      <c r="C5" s="253"/>
      <c r="D5" s="253"/>
      <c r="E5" s="253"/>
    </row>
    <row r="6" spans="1:5" x14ac:dyDescent="0.25">
      <c r="A6" s="255" t="s">
        <v>2</v>
      </c>
      <c r="B6" s="37">
        <v>9</v>
      </c>
      <c r="C6" s="253"/>
      <c r="D6" s="253"/>
      <c r="E6" s="253"/>
    </row>
    <row r="7" spans="1:5" x14ac:dyDescent="0.25">
      <c r="A7" s="255" t="s">
        <v>219</v>
      </c>
      <c r="B7" s="37">
        <v>2.8</v>
      </c>
      <c r="C7" s="253"/>
      <c r="D7" s="253"/>
      <c r="E7" s="253"/>
    </row>
    <row r="8" spans="1:5" x14ac:dyDescent="0.25">
      <c r="E8" s="3"/>
    </row>
    <row r="9" spans="1:5" x14ac:dyDescent="0.25">
      <c r="A9" s="252" t="s">
        <v>8</v>
      </c>
      <c r="B9" s="251">
        <f>(B6-B3)/(B7/SQRT(B5))</f>
        <v>-2.5253813613805272</v>
      </c>
      <c r="E9" s="3"/>
    </row>
    <row r="10" spans="1:5" x14ac:dyDescent="0.25">
      <c r="E10" s="3"/>
    </row>
    <row r="11" spans="1:5" ht="13.8" thickBot="1" x14ac:dyDescent="0.3">
      <c r="E11" s="3"/>
    </row>
    <row r="12" spans="1:5" x14ac:dyDescent="0.25">
      <c r="A12" s="250" t="s">
        <v>218</v>
      </c>
      <c r="B12" s="249" t="s">
        <v>9</v>
      </c>
      <c r="C12" s="249" t="s">
        <v>10</v>
      </c>
      <c r="D12" s="248" t="s">
        <v>12</v>
      </c>
      <c r="E12" s="247" t="s">
        <v>5</v>
      </c>
    </row>
    <row r="13" spans="1:5" x14ac:dyDescent="0.25">
      <c r="A13" s="246"/>
      <c r="B13"/>
      <c r="C13"/>
      <c r="D13" s="245"/>
      <c r="E13" s="244"/>
    </row>
    <row r="14" spans="1:5" x14ac:dyDescent="0.25">
      <c r="A14" s="243" t="s">
        <v>222</v>
      </c>
      <c r="B14" s="242">
        <f>IF($B$5&gt;29,NORMSINV($B$4),-TINV(2*$B$4,$B$5-1))</f>
        <v>-1.6448536269514726</v>
      </c>
      <c r="C14" s="242" t="s">
        <v>11</v>
      </c>
      <c r="D14" s="242">
        <f>IF(B5&lt;30,IF(B9&lt;0,TDIST(ABS(B9),B5-1,1),1-TDIST(ABS(B9),B5-1,1)),NORMSDIST(B9))</f>
        <v>5.7786398321626247E-3</v>
      </c>
      <c r="E14" s="241" t="str">
        <f>IF(D14&lt;$B$4,"Reject the null hypothesis","Do not reject the null hypothesis")</f>
        <v>Reject the null hypothesis</v>
      </c>
    </row>
    <row r="15" spans="1:5" ht="13.8" thickBot="1" x14ac:dyDescent="0.3">
      <c r="A15" s="240" t="str">
        <f>"HA:  m &lt; "&amp;B3</f>
        <v>HA:  m &lt; 10</v>
      </c>
      <c r="B15" s="239"/>
      <c r="C15" s="239"/>
      <c r="D15" s="259"/>
      <c r="E15" s="258"/>
    </row>
    <row r="17" spans="1:5" x14ac:dyDescent="0.25">
      <c r="A17" s="236" t="s">
        <v>235</v>
      </c>
      <c r="B17" s="236"/>
      <c r="C17" s="236"/>
      <c r="D17" s="236"/>
      <c r="E17" s="264"/>
    </row>
  </sheetData>
  <printOptions gridLines="1" gridLinesSet="0"/>
  <pageMargins left="0.75" right="0.75" top="1" bottom="1" header="0.5" footer="0.5"/>
  <pageSetup orientation="landscape" horizontalDpi="300" verticalDpi="300" r:id="rId1"/>
  <headerFooter alignWithMargins="0">
    <oddFooter>&amp;L&amp;A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29</vt:i4>
      </vt:variant>
    </vt:vector>
  </HeadingPairs>
  <TitlesOfParts>
    <vt:vector size="62" baseType="lpstr">
      <vt:lpstr>10.5</vt:lpstr>
      <vt:lpstr>10.6</vt:lpstr>
      <vt:lpstr>10.7</vt:lpstr>
      <vt:lpstr>10.8</vt:lpstr>
      <vt:lpstr>10.11</vt:lpstr>
      <vt:lpstr>10.12</vt:lpstr>
      <vt:lpstr>10.13</vt:lpstr>
      <vt:lpstr>10.14</vt:lpstr>
      <vt:lpstr>10.27</vt:lpstr>
      <vt:lpstr>10.28</vt:lpstr>
      <vt:lpstr>10.30</vt:lpstr>
      <vt:lpstr>10.31</vt:lpstr>
      <vt:lpstr>11.3</vt:lpstr>
      <vt:lpstr>11.4</vt:lpstr>
      <vt:lpstr>11.5</vt:lpstr>
      <vt:lpstr>11.6</vt:lpstr>
      <vt:lpstr>11.9</vt:lpstr>
      <vt:lpstr>11.10</vt:lpstr>
      <vt:lpstr>11.11</vt:lpstr>
      <vt:lpstr>11.12</vt:lpstr>
      <vt:lpstr>11.15</vt:lpstr>
      <vt:lpstr>11.17</vt:lpstr>
      <vt:lpstr>11.20</vt:lpstr>
      <vt:lpstr>11.21</vt:lpstr>
      <vt:lpstr>11.22</vt:lpstr>
      <vt:lpstr>12.9a</vt:lpstr>
      <vt:lpstr>12.10a</vt:lpstr>
      <vt:lpstr>13.5a</vt:lpstr>
      <vt:lpstr>13.5b</vt:lpstr>
      <vt:lpstr>13.15a</vt:lpstr>
      <vt:lpstr>13.15b</vt:lpstr>
      <vt:lpstr>12.9b</vt:lpstr>
      <vt:lpstr>12.10b</vt:lpstr>
      <vt:lpstr>'10.11'!Print_Area</vt:lpstr>
      <vt:lpstr>'10.12'!Print_Area</vt:lpstr>
      <vt:lpstr>'10.13'!Print_Area</vt:lpstr>
      <vt:lpstr>'10.14'!Print_Area</vt:lpstr>
      <vt:lpstr>'10.27'!Print_Area</vt:lpstr>
      <vt:lpstr>'10.28'!Print_Area</vt:lpstr>
      <vt:lpstr>'10.30'!Print_Area</vt:lpstr>
      <vt:lpstr>'10.31'!Print_Area</vt:lpstr>
      <vt:lpstr>'10.5'!Print_Area</vt:lpstr>
      <vt:lpstr>'10.6'!Print_Area</vt:lpstr>
      <vt:lpstr>'10.7'!Print_Area</vt:lpstr>
      <vt:lpstr>'10.8'!Print_Area</vt:lpstr>
      <vt:lpstr>'11.10'!Print_Area</vt:lpstr>
      <vt:lpstr>'11.11'!Print_Area</vt:lpstr>
      <vt:lpstr>'11.12'!Print_Area</vt:lpstr>
      <vt:lpstr>'11.15'!Print_Area</vt:lpstr>
      <vt:lpstr>'11.17'!Print_Area</vt:lpstr>
      <vt:lpstr>'11.20'!Print_Area</vt:lpstr>
      <vt:lpstr>'11.21'!Print_Area</vt:lpstr>
      <vt:lpstr>'11.22'!Print_Area</vt:lpstr>
      <vt:lpstr>'11.3'!Print_Area</vt:lpstr>
      <vt:lpstr>'11.4'!Print_Area</vt:lpstr>
      <vt:lpstr>'11.5'!Print_Area</vt:lpstr>
      <vt:lpstr>'11.6'!Print_Area</vt:lpstr>
      <vt:lpstr>'11.9'!Print_Area</vt:lpstr>
      <vt:lpstr>'12.10a'!Print_Area</vt:lpstr>
      <vt:lpstr>'12.9a'!Print_Area</vt:lpstr>
      <vt:lpstr>'13.15a'!Print_Area</vt:lpstr>
      <vt:lpstr>'13.5a'!Print_Area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Mirabella</dc:creator>
  <cp:lastModifiedBy>Dr. Jim Mirabella</cp:lastModifiedBy>
  <cp:lastPrinted>2003-01-06T10:52:57Z</cp:lastPrinted>
  <dcterms:created xsi:type="dcterms:W3CDTF">2000-10-14T20:22:00Z</dcterms:created>
  <dcterms:modified xsi:type="dcterms:W3CDTF">2019-11-27T21:22:44Z</dcterms:modified>
</cp:coreProperties>
</file>